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C:\Users\mb-liaora-w11\Documents\Liora dsk 2010\IPM programs\טיפול בפסולות אורגניות\הצעת מחקר גליל עליון\דוחות\דוח שנה 3 2022\תחשיב כדאיות\"/>
    </mc:Choice>
  </mc:AlternateContent>
  <xr:revisionPtr revIDLastSave="0" documentId="13_ncr:1_{46143D65-7C87-4DE2-B11A-B6504F5A256A}" xr6:coauthVersionLast="36" xr6:coauthVersionMax="47" xr10:uidLastSave="{00000000-0000-0000-0000-000000000000}"/>
  <bookViews>
    <workbookView xWindow="0" yWindow="0" windowWidth="16457" windowHeight="6017" xr2:uid="{00000000-000D-0000-FFFF-FFFF00000000}"/>
  </bookViews>
  <sheets>
    <sheet name="תחשיב כדאיות וטבלאות רגישות" sheetId="4" r:id="rId1"/>
    <sheet name="גיליון2" sheetId="2" r:id="rId2"/>
    <sheet name="גיליון3" sheetId="3" r:id="rId3"/>
  </sheets>
  <calcPr calcId="191029"/>
  <fileRecoveryPr autoRecover="0"/>
</workbook>
</file>

<file path=xl/calcChain.xml><?xml version="1.0" encoding="utf-8"?>
<calcChain xmlns="http://schemas.openxmlformats.org/spreadsheetml/2006/main">
  <c r="C79" i="4" l="1"/>
  <c r="E59" i="4"/>
  <c r="F59" i="4" s="1"/>
  <c r="D94" i="4" l="1"/>
  <c r="E33" i="4"/>
  <c r="D93" i="4" s="1"/>
  <c r="F68" i="4"/>
  <c r="F69" i="4" s="1"/>
  <c r="E83" i="4"/>
  <c r="E82" i="4"/>
  <c r="E81" i="4"/>
  <c r="E80" i="4"/>
  <c r="E79" i="4"/>
  <c r="E78" i="4"/>
  <c r="E77" i="4"/>
  <c r="E76" i="4"/>
  <c r="C86" i="4"/>
  <c r="C87" i="4" s="1"/>
  <c r="D53" i="4"/>
  <c r="D52" i="4"/>
  <c r="D51" i="4"/>
  <c r="D46" i="4"/>
  <c r="D34" i="4"/>
  <c r="E46" i="4" s="1"/>
  <c r="F97" i="4" l="1"/>
  <c r="E86" i="4"/>
  <c r="E87" i="4" s="1"/>
  <c r="F101" i="4" s="1"/>
  <c r="E94" i="4"/>
  <c r="F94" i="4" s="1"/>
  <c r="F46" i="4"/>
  <c r="E30" i="4" l="1"/>
  <c r="D45" i="4" s="1"/>
  <c r="E31" i="4"/>
  <c r="E32" i="4"/>
  <c r="D92" i="4" s="1"/>
  <c r="E35" i="4"/>
  <c r="D50" i="4" s="1"/>
  <c r="D35" i="4"/>
  <c r="E50" i="4" s="1"/>
  <c r="D38" i="4"/>
  <c r="E53" i="4" s="1"/>
  <c r="F53" i="4" s="1"/>
  <c r="D37" i="4"/>
  <c r="E52" i="4" s="1"/>
  <c r="F52" i="4" s="1"/>
  <c r="D36" i="4"/>
  <c r="E51" i="4" s="1"/>
  <c r="F51" i="4" s="1"/>
  <c r="D29" i="4"/>
  <c r="D30" i="4" s="1"/>
  <c r="E45" i="4" l="1"/>
  <c r="F45" i="4" s="1"/>
  <c r="F47" i="4" s="1"/>
  <c r="D31" i="4"/>
  <c r="F50" i="4"/>
  <c r="F54" i="4" s="1"/>
  <c r="F96" i="4" l="1"/>
  <c r="F70" i="4"/>
  <c r="F71" i="4" s="1"/>
  <c r="D32" i="4"/>
  <c r="E92" i="4" s="1"/>
  <c r="D33" i="4"/>
  <c r="E93" i="4" s="1"/>
  <c r="F93" i="4" s="1"/>
  <c r="D39" i="4" l="1"/>
  <c r="F92" i="4" l="1"/>
  <c r="F95" i="4" s="1"/>
  <c r="E98" i="4"/>
  <c r="F98" i="4" s="1"/>
  <c r="F99" i="4" s="1"/>
  <c r="F100" i="4" l="1"/>
  <c r="F102" i="4" s="1"/>
  <c r="K134" i="4" l="1"/>
  <c r="K149" i="4"/>
  <c r="K104" i="4"/>
  <c r="K11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Adi Jonas Levi</author>
  </authors>
  <commentList>
    <comment ref="F47" authorId="0" shapeId="0" xr:uid="{8391E085-14C3-4D7E-B27B-50EE15AB8F6B}">
      <text>
        <r>
          <rPr>
            <b/>
            <sz val="9"/>
            <color indexed="81"/>
            <rFont val="Tahoma"/>
            <charset val="177"/>
          </rPr>
          <t>Adi Jonas Levi:</t>
        </r>
        <r>
          <rPr>
            <sz val="9"/>
            <color indexed="81"/>
            <rFont val="Tahoma"/>
            <charset val="177"/>
          </rPr>
          <t xml:space="preserve">
מכירת רימות בשנה</t>
        </r>
      </text>
    </comment>
  </commentList>
</comments>
</file>

<file path=xl/sharedStrings.xml><?xml version="1.0" encoding="utf-8"?>
<sst xmlns="http://schemas.openxmlformats.org/spreadsheetml/2006/main" count="159" uniqueCount="119">
  <si>
    <t>תחשיב כדאיות השקעה במתקן יצור זבוב שחור</t>
  </si>
  <si>
    <t>נתונים למגש אחד (40X60סמ)</t>
  </si>
  <si>
    <t>סעיף</t>
  </si>
  <si>
    <t>כמות</t>
  </si>
  <si>
    <t>רימה לבנה דרגה 5</t>
  </si>
  <si>
    <t>רמה 5</t>
  </si>
  <si>
    <t>מחזורים בשנה</t>
  </si>
  <si>
    <t>כמות (רימות צעירות=סטרטרים) 
למגש אחד, למחזור אחד</t>
  </si>
  <si>
    <t>משקל גולמי שיווק דרגה 5- 
במ"ג לרימה אחת</t>
  </si>
  <si>
    <t>אחוז חלבון בחומר היבש של הרימות</t>
  </si>
  <si>
    <t>אחוז פסולת תפוחים</t>
  </si>
  <si>
    <t>חישובים</t>
  </si>
  <si>
    <t>אחוז פסולת לתת</t>
  </si>
  <si>
    <t>אחוז פסולת שמרים</t>
  </si>
  <si>
    <t>מספר מגשים במכולה</t>
  </si>
  <si>
    <t>יצור רימות (לרוות) שלב 5  במגש אחד
בק"ג חומר רטוב למחזור אחד</t>
  </si>
  <si>
    <t>יצור רימות (לרוות) שלב 5  במכולה
בק"ג חומר רטוב בשנה</t>
  </si>
  <si>
    <t>ערך</t>
  </si>
  <si>
    <t>אחוז תוצרת לשיווק שלב 1
פחת תמותה וכו (השרדות)</t>
  </si>
  <si>
    <t>אחוז חומר יבש (של הרימות)</t>
  </si>
  <si>
    <t>משקל פסולת למגש (מזון מוגש לרימות) - ק"ג</t>
  </si>
  <si>
    <t>כמות פסולת תפוחים בשנה</t>
  </si>
  <si>
    <t>כמות פסולת לתת בשנה</t>
  </si>
  <si>
    <t>טון למכולה בשנה</t>
  </si>
  <si>
    <t>ק"ג למגש מחזור אחד</t>
  </si>
  <si>
    <t>יחידות מדידה</t>
  </si>
  <si>
    <t>יצור רימות (לרוות) שלב 5  במכולה
בק"ג חומר יבש בשנה</t>
  </si>
  <si>
    <t>יצור חלבון  במכולה
בק"ג חלבון בשנה</t>
  </si>
  <si>
    <t>כמות למכולה בשנה</t>
  </si>
  <si>
    <t>כמות סטרטרים בשנה
בקבוקונים של 50,000 רימות צעירות</t>
  </si>
  <si>
    <t>מחיר</t>
  </si>
  <si>
    <t>מחיר ש"ח
ליחידה</t>
  </si>
  <si>
    <t>הערות</t>
  </si>
  <si>
    <t>שער הדולר</t>
  </si>
  <si>
    <t>שער הריבית להיוון</t>
  </si>
  <si>
    <t>לפי 1500 דולר לטון</t>
  </si>
  <si>
    <t>לפי 400 דולר לטון</t>
  </si>
  <si>
    <t>לפי 4000 דולר לטון</t>
  </si>
  <si>
    <t>לפי 2 דולר לבקבוק של 50 אלף</t>
  </si>
  <si>
    <t>רק עלות ההובלה לטון</t>
  </si>
  <si>
    <t>עלות פינוי הובלה ויבוש וטחינה</t>
  </si>
  <si>
    <t>כמות פראס ק"ג למגש במחזור אחד</t>
  </si>
  <si>
    <t>טון פראס  למחולה בשנה</t>
  </si>
  <si>
    <t>יחידות</t>
  </si>
  <si>
    <t>סכום</t>
  </si>
  <si>
    <t>תחשיב  גידול מכולה  - ליצור  חומר רטוב - בשח לשנה</t>
  </si>
  <si>
    <t>טון בשנה</t>
  </si>
  <si>
    <t>ערך החומר הרטוב רימות דרגה 5</t>
  </si>
  <si>
    <t>ערך הפראס</t>
  </si>
  <si>
    <t>סהכ ערך היצור למכולה בשנה</t>
  </si>
  <si>
    <t>הובלה  של נוזל שמרי בירה</t>
  </si>
  <si>
    <t>כמות פסולת נוזל   שמרי בירה</t>
  </si>
  <si>
    <t>עלויות יצור משתנות - חומרי גלם</t>
  </si>
  <si>
    <t>השקעות בהקמת מכולה</t>
  </si>
  <si>
    <t>תשתיות, חשמל, מים, ביוב, דרכים</t>
  </si>
  <si>
    <t>אגרות</t>
  </si>
  <si>
    <t>הובלה והקמה מכולה (כולל ציוד, בקרה, מפוחים ומכשירי חשמל נוספים)</t>
  </si>
  <si>
    <t>מגשים (ל 400 יחידות)</t>
  </si>
  <si>
    <t>נפה להפרדה</t>
  </si>
  <si>
    <t>מגרסת מזון</t>
  </si>
  <si>
    <t>מערבל מזון</t>
  </si>
  <si>
    <t>בלתי צפוי מראש 10%</t>
  </si>
  <si>
    <t>שנות
קיים</t>
  </si>
  <si>
    <t>החזר הון שנתי</t>
  </si>
  <si>
    <t>סהכ</t>
  </si>
  <si>
    <t>חומרי ניקוי</t>
  </si>
  <si>
    <t>תחזוקת מתקן</t>
  </si>
  <si>
    <t>הובלות חומרים</t>
  </si>
  <si>
    <t>ארנונה</t>
  </si>
  <si>
    <t>רישוי עסקים</t>
  </si>
  <si>
    <t>משרדיות</t>
  </si>
  <si>
    <t>ביטוחים</t>
  </si>
  <si>
    <t>שכ"ד מבנים</t>
  </si>
  <si>
    <t>שימוש ברכב ענף</t>
  </si>
  <si>
    <t>שונות ובלתי צפוי 10%</t>
  </si>
  <si>
    <t>סהכ הוצאות עקיפות למכולה בשנה</t>
  </si>
  <si>
    <t>עובד מתקן רבע משרה</t>
  </si>
  <si>
    <t>אחוז שומן בחומר היבש של הרימות</t>
  </si>
  <si>
    <t>לפי 900 דולר לטון</t>
  </si>
  <si>
    <t>ערך החלבון הנקי לשיווק</t>
  </si>
  <si>
    <t>אחוז חלבון לטון פסולת</t>
  </si>
  <si>
    <t>ערך השומן הנקי לשיווק</t>
  </si>
  <si>
    <t>עלות הפקת חלבון מהחומר היבש
ע"י קבלן חיצוני (שרותי חוץ)
כולל יבוש, אקסטרוזיה</t>
  </si>
  <si>
    <t>תועלות סביבתיות 
הפחתת גזי חממה, 
הפחתת ריסוסים לזבוב פירות
הפחתת פגיעה במארגי מזון ימיים</t>
  </si>
  <si>
    <t>יצור שומן זח"ש</t>
  </si>
  <si>
    <t>סהכ קניות של חומרי גלם ליצור (הוצאות ישירות)</t>
  </si>
  <si>
    <t>הערה: תאים בצהוב ניתנים לעדכון</t>
  </si>
  <si>
    <t>לפי תפוסה של 75% מהזמן</t>
  </si>
  <si>
    <t>לפי תוצאות המחקר</t>
  </si>
  <si>
    <t>ערך הפראס (סוג של "קומפוסט")</t>
  </si>
  <si>
    <t>קניה של סטרטרים (רימות צעירות)</t>
  </si>
  <si>
    <t>קניה של תפוחים (זיכוי בגין חיסכון בהטמנה)</t>
  </si>
  <si>
    <t>שרותי ענן,  מיחשוב, וכו(לצורכי בקרה מרחוק)</t>
  </si>
  <si>
    <t>פסולת לתת בשנה - הובלה</t>
  </si>
  <si>
    <t>טון</t>
  </si>
  <si>
    <t>חשמל קירור, חימום, אוורור (לפי 24 קווש ליום)</t>
  </si>
  <si>
    <t>סהכ הוצאות שנתיות</t>
  </si>
  <si>
    <t>יתרה שנתית ליצור חומר רטוב
לפני החזר הון למכולה</t>
  </si>
  <si>
    <t>תחשיב רווחיות ליצור חלבון</t>
  </si>
  <si>
    <t>הוצאות ישירות בפיטום הרימות  (רימות, פירות, לתת וכו)</t>
  </si>
  <si>
    <t>הוצאות עקיפות לפיטום הרימות
עבודה, תחזוקה חשמל וכו..</t>
  </si>
  <si>
    <t>יתרה גולמית שנתית
לפני החזר הון</t>
  </si>
  <si>
    <t>רווח שנתי אחרי החזר הון</t>
  </si>
  <si>
    <t>טבלת רגישות רווח שנתי אחרי החזר הון, אחוז החלבון בחומר היבש, משקל רימה</t>
  </si>
  <si>
    <t>אחוז החלבון בחומר היבש</t>
  </si>
  <si>
    <t>משקל</t>
  </si>
  <si>
    <t>רימה</t>
  </si>
  <si>
    <t>טבלת רגישות רווח שנתי אחרי החזר הון, מספר המגשים במכולה, משקל רימה</t>
  </si>
  <si>
    <t>טבלת רגישות רווח שנתי אחרי החזר הון, מספר מחזורי גידול בשנה, משקל רימה</t>
  </si>
  <si>
    <t>מספר מחזורי גידול בשנה</t>
  </si>
  <si>
    <t>מספר ימי פיטום</t>
  </si>
  <si>
    <t>טבלת רגישות רווח שנתי אחרי החזר הון, משקל פסולת למגש (מזון מוגש לרימות), משקל רימה</t>
  </si>
  <si>
    <t>משקל פסולת למגש(מזון מוגש)</t>
  </si>
  <si>
    <t>הוכן ע"י: אבי סלמון משרד החקלאות.    מקור הנתונים: ד"ר ליאורה שאלתיאל הרפז, ד"ר עדי יונס לוי, אוגוסט 2023</t>
  </si>
  <si>
    <t>סהכ הכנסות שנתיות, ₪</t>
  </si>
  <si>
    <t>מספר ימי תינוקיה</t>
  </si>
  <si>
    <t>לפי 600 שח לטון מוצר פרימיום</t>
  </si>
  <si>
    <t xml:space="preserve">פיטום תופס 75% מהמכולה, יחד עם תינוקייה 94% משטח המכולה ולכן אפשר לגדל במקביל את שני השלבים </t>
  </si>
  <si>
    <t>תינוקיה תופסת 25% מהמקום שתופס שלב הפיטום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</si>
</sst>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;;;"/>
    <numFmt numFmtId="166" formatCode="#,##0.0;\-#,##0.0"/>
  </numFmts>
  <fonts count="19" x14ac:knownFonts="1">
    <font>
      <sz val="11"/>
      <color theme="1"/>
      <name val="Calibri"/>
      <family val="2"/>
      <charset val="177"/>
      <scheme val="minor"/>
    </font>
    <font>
      <sz val="12"/>
      <color theme="1"/>
      <name val="Calibri"/>
      <family val="2"/>
      <charset val="177"/>
      <scheme val="minor"/>
    </font>
    <font>
      <b/>
      <u/>
      <sz val="20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charset val="177"/>
    </font>
    <font>
      <b/>
      <sz val="9"/>
      <color indexed="81"/>
      <name val="Tahoma"/>
      <charset val="177"/>
    </font>
    <font>
      <sz val="16"/>
      <color theme="1"/>
      <name val="Calibri"/>
      <family val="2"/>
      <scheme val="minor"/>
    </font>
    <font>
      <sz val="12"/>
      <color rgb="FFFF0000"/>
      <name val="Calibri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/>
      <bottom style="medium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6">
    <xf numFmtId="0" fontId="0" fillId="0" borderId="0" xfId="0"/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8" fillId="0" borderId="15" xfId="0" applyNumberFormat="1" applyFont="1" applyBorder="1" applyAlignment="1">
      <alignment horizontal="right" vertical="center"/>
    </xf>
    <xf numFmtId="3" fontId="8" fillId="0" borderId="17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/>
    </xf>
    <xf numFmtId="164" fontId="1" fillId="0" borderId="20" xfId="0" applyNumberFormat="1" applyFont="1" applyBorder="1" applyAlignment="1">
      <alignment horizontal="right" vertical="center"/>
    </xf>
    <xf numFmtId="164" fontId="1" fillId="0" borderId="23" xfId="0" applyNumberFormat="1" applyFont="1" applyBorder="1" applyAlignment="1">
      <alignment horizontal="right" vertical="center"/>
    </xf>
    <xf numFmtId="164" fontId="1" fillId="0" borderId="24" xfId="0" applyNumberFormat="1" applyFont="1" applyBorder="1" applyAlignment="1">
      <alignment horizontal="right" vertical="center"/>
    </xf>
    <xf numFmtId="3" fontId="1" fillId="0" borderId="25" xfId="0" applyNumberFormat="1" applyFont="1" applyBorder="1" applyAlignment="1">
      <alignment horizontal="right" vertical="center"/>
    </xf>
    <xf numFmtId="3" fontId="1" fillId="0" borderId="26" xfId="0" applyNumberFormat="1" applyFont="1" applyBorder="1" applyAlignment="1">
      <alignment horizontal="right" vertical="center"/>
    </xf>
    <xf numFmtId="164" fontId="1" fillId="0" borderId="27" xfId="0" applyNumberFormat="1" applyFont="1" applyBorder="1" applyAlignment="1">
      <alignment horizontal="right" vertical="center"/>
    </xf>
    <xf numFmtId="3" fontId="1" fillId="0" borderId="22" xfId="0" applyNumberFormat="1" applyFont="1" applyBorder="1" applyAlignment="1">
      <alignment horizontal="right" vertical="center"/>
    </xf>
    <xf numFmtId="3" fontId="1" fillId="0" borderId="27" xfId="0" applyNumberFormat="1" applyFont="1" applyBorder="1" applyAlignment="1">
      <alignment horizontal="right" vertical="center"/>
    </xf>
    <xf numFmtId="3" fontId="1" fillId="0" borderId="18" xfId="0" applyNumberFormat="1" applyFont="1" applyBorder="1" applyAlignment="1">
      <alignment horizontal="right" vertical="center" wrapText="1"/>
    </xf>
    <xf numFmtId="164" fontId="1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horizontal="right" vertical="center" wrapText="1"/>
    </xf>
    <xf numFmtId="3" fontId="1" fillId="0" borderId="30" xfId="0" applyNumberFormat="1" applyFont="1" applyBorder="1" applyAlignment="1">
      <alignment horizontal="right" vertical="center"/>
    </xf>
    <xf numFmtId="4" fontId="1" fillId="0" borderId="31" xfId="0" applyNumberFormat="1" applyFont="1" applyBorder="1" applyAlignment="1">
      <alignment horizontal="right" vertical="center"/>
    </xf>
    <xf numFmtId="3" fontId="1" fillId="0" borderId="32" xfId="0" applyNumberFormat="1" applyFont="1" applyBorder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/>
    </xf>
    <xf numFmtId="164" fontId="1" fillId="0" borderId="34" xfId="0" applyNumberFormat="1" applyFont="1" applyBorder="1" applyAlignment="1">
      <alignment horizontal="right" vertical="center"/>
    </xf>
    <xf numFmtId="3" fontId="1" fillId="0" borderId="35" xfId="0" applyNumberFormat="1" applyFont="1" applyBorder="1" applyAlignment="1">
      <alignment horizontal="right" vertical="center" wrapText="1"/>
    </xf>
    <xf numFmtId="3" fontId="1" fillId="0" borderId="36" xfId="0" applyNumberFormat="1" applyFont="1" applyBorder="1" applyAlignment="1">
      <alignment horizontal="right" vertical="center"/>
    </xf>
    <xf numFmtId="164" fontId="1" fillId="0" borderId="37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/>
    </xf>
    <xf numFmtId="3" fontId="1" fillId="0" borderId="24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13" xfId="0" applyNumberFormat="1" applyFont="1" applyBorder="1" applyAlignment="1">
      <alignment horizontal="right" vertical="center" wrapText="1"/>
    </xf>
    <xf numFmtId="3" fontId="1" fillId="0" borderId="38" xfId="0" applyNumberFormat="1" applyFont="1" applyBorder="1" applyAlignment="1">
      <alignment horizontal="right" vertical="center"/>
    </xf>
    <xf numFmtId="164" fontId="1" fillId="0" borderId="14" xfId="0" applyNumberFormat="1" applyFont="1" applyBorder="1" applyAlignment="1">
      <alignment horizontal="right" vertical="center"/>
    </xf>
    <xf numFmtId="3" fontId="1" fillId="0" borderId="39" xfId="0" applyNumberFormat="1" applyFont="1" applyBorder="1" applyAlignment="1">
      <alignment horizontal="right" vertical="center"/>
    </xf>
    <xf numFmtId="3" fontId="4" fillId="0" borderId="39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3" fontId="6" fillId="0" borderId="25" xfId="0" applyNumberFormat="1" applyFont="1" applyBorder="1" applyAlignment="1">
      <alignment horizontal="right" vertical="center"/>
    </xf>
    <xf numFmtId="3" fontId="6" fillId="0" borderId="26" xfId="0" applyNumberFormat="1" applyFont="1" applyBorder="1" applyAlignment="1">
      <alignment horizontal="right" vertical="center"/>
    </xf>
    <xf numFmtId="4" fontId="6" fillId="0" borderId="26" xfId="0" applyNumberFormat="1" applyFont="1" applyBorder="1" applyAlignment="1">
      <alignment horizontal="right" vertical="center"/>
    </xf>
    <xf numFmtId="3" fontId="1" fillId="0" borderId="41" xfId="0" applyNumberFormat="1" applyFont="1" applyBorder="1" applyAlignment="1">
      <alignment horizontal="right" vertical="center"/>
    </xf>
    <xf numFmtId="4" fontId="1" fillId="0" borderId="4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3" fontId="1" fillId="0" borderId="42" xfId="0" applyNumberFormat="1" applyFont="1" applyBorder="1" applyAlignment="1">
      <alignment horizontal="right" vertical="center"/>
    </xf>
    <xf numFmtId="3" fontId="1" fillId="0" borderId="43" xfId="0" applyNumberFormat="1" applyFont="1" applyBorder="1" applyAlignment="1">
      <alignment horizontal="right" vertical="center"/>
    </xf>
    <xf numFmtId="4" fontId="1" fillId="0" borderId="43" xfId="0" applyNumberFormat="1" applyFont="1" applyBorder="1" applyAlignment="1">
      <alignment horizontal="right" vertical="center"/>
    </xf>
    <xf numFmtId="3" fontId="1" fillId="0" borderId="45" xfId="0" applyNumberFormat="1" applyFont="1" applyBorder="1" applyAlignment="1">
      <alignment horizontal="right" vertical="center"/>
    </xf>
    <xf numFmtId="3" fontId="6" fillId="0" borderId="40" xfId="0" applyNumberFormat="1" applyFont="1" applyBorder="1" applyAlignment="1">
      <alignment horizontal="right" vertical="center"/>
    </xf>
    <xf numFmtId="3" fontId="4" fillId="0" borderId="39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6" fillId="0" borderId="27" xfId="0" applyNumberFormat="1" applyFont="1" applyBorder="1" applyAlignment="1">
      <alignment horizontal="right" vertical="center"/>
    </xf>
    <xf numFmtId="3" fontId="5" fillId="0" borderId="44" xfId="0" applyNumberFormat="1" applyFont="1" applyBorder="1" applyAlignment="1">
      <alignment horizontal="right" vertical="center"/>
    </xf>
    <xf numFmtId="3" fontId="5" fillId="0" borderId="45" xfId="0" applyNumberFormat="1" applyFont="1" applyBorder="1" applyAlignment="1">
      <alignment horizontal="right" vertical="center"/>
    </xf>
    <xf numFmtId="3" fontId="7" fillId="0" borderId="25" xfId="0" applyNumberFormat="1" applyFont="1" applyBorder="1" applyAlignment="1">
      <alignment horizontal="right" vertical="center"/>
    </xf>
    <xf numFmtId="3" fontId="7" fillId="0" borderId="26" xfId="0" applyNumberFormat="1" applyFont="1" applyBorder="1" applyAlignment="1">
      <alignment horizontal="right" vertical="center"/>
    </xf>
    <xf numFmtId="3" fontId="7" fillId="0" borderId="27" xfId="0" applyNumberFormat="1" applyFont="1" applyBorder="1" applyAlignment="1">
      <alignment horizontal="right" vertical="center"/>
    </xf>
    <xf numFmtId="3" fontId="1" fillId="0" borderId="46" xfId="0" applyNumberFormat="1" applyFont="1" applyBorder="1" applyAlignment="1">
      <alignment horizontal="right" vertical="center" wrapText="1"/>
    </xf>
    <xf numFmtId="3" fontId="6" fillId="0" borderId="39" xfId="0" applyNumberFormat="1" applyFont="1" applyBorder="1" applyAlignment="1">
      <alignment horizontal="right" vertical="center"/>
    </xf>
    <xf numFmtId="10" fontId="6" fillId="0" borderId="6" xfId="1" applyNumberFormat="1" applyFont="1" applyBorder="1" applyAlignment="1">
      <alignment horizontal="right" vertical="center"/>
    </xf>
    <xf numFmtId="3" fontId="1" fillId="0" borderId="47" xfId="0" applyNumberFormat="1" applyFont="1" applyBorder="1" applyAlignment="1">
      <alignment horizontal="right" vertical="center"/>
    </xf>
    <xf numFmtId="3" fontId="1" fillId="0" borderId="48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45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8" fillId="0" borderId="25" xfId="0" applyNumberFormat="1" applyFont="1" applyBorder="1" applyAlignment="1">
      <alignment horizontal="right" vertical="center"/>
    </xf>
    <xf numFmtId="3" fontId="8" fillId="0" borderId="26" xfId="0" applyNumberFormat="1" applyFont="1" applyBorder="1" applyAlignment="1">
      <alignment horizontal="right" vertical="center"/>
    </xf>
    <xf numFmtId="3" fontId="8" fillId="0" borderId="27" xfId="0" applyNumberFormat="1" applyFont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3" fontId="1" fillId="2" borderId="25" xfId="0" applyNumberFormat="1" applyFont="1" applyFill="1" applyBorder="1" applyAlignment="1">
      <alignment horizontal="right" vertical="center"/>
    </xf>
    <xf numFmtId="3" fontId="1" fillId="2" borderId="21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37" fontId="1" fillId="0" borderId="10" xfId="0" applyNumberFormat="1" applyFont="1" applyBorder="1" applyAlignment="1">
      <alignment horizontal="right" vertical="center"/>
    </xf>
    <xf numFmtId="37" fontId="5" fillId="0" borderId="12" xfId="0" applyNumberFormat="1" applyFont="1" applyBorder="1" applyAlignment="1">
      <alignment horizontal="right" vertical="center"/>
    </xf>
    <xf numFmtId="37" fontId="1" fillId="0" borderId="23" xfId="0" applyNumberFormat="1" applyFont="1" applyBorder="1" applyAlignment="1">
      <alignment horizontal="right" vertical="center"/>
    </xf>
    <xf numFmtId="37" fontId="1" fillId="0" borderId="24" xfId="0" applyNumberFormat="1" applyFont="1" applyBorder="1" applyAlignment="1">
      <alignment horizontal="right" vertical="center"/>
    </xf>
    <xf numFmtId="37" fontId="6" fillId="0" borderId="27" xfId="0" applyNumberFormat="1" applyFont="1" applyBorder="1" applyAlignment="1">
      <alignment horizontal="right" vertical="center"/>
    </xf>
    <xf numFmtId="3" fontId="1" fillId="2" borderId="24" xfId="0" applyNumberFormat="1" applyFont="1" applyFill="1" applyBorder="1" applyAlignment="1">
      <alignment horizontal="right" vertical="center"/>
    </xf>
    <xf numFmtId="3" fontId="7" fillId="0" borderId="50" xfId="0" applyNumberFormat="1" applyFont="1" applyBorder="1" applyAlignment="1">
      <alignment horizontal="right" vertical="center"/>
    </xf>
    <xf numFmtId="3" fontId="7" fillId="0" borderId="51" xfId="0" applyNumberFormat="1" applyFont="1" applyBorder="1" applyAlignment="1">
      <alignment horizontal="right" vertical="center"/>
    </xf>
    <xf numFmtId="3" fontId="7" fillId="0" borderId="52" xfId="0" applyNumberFormat="1" applyFont="1" applyBorder="1" applyAlignment="1">
      <alignment horizontal="right" vertical="center"/>
    </xf>
    <xf numFmtId="3" fontId="7" fillId="0" borderId="54" xfId="0" applyNumberFormat="1" applyFont="1" applyBorder="1" applyAlignment="1">
      <alignment horizontal="right" vertical="center"/>
    </xf>
    <xf numFmtId="3" fontId="7" fillId="0" borderId="55" xfId="0" applyNumberFormat="1" applyFont="1" applyBorder="1" applyAlignment="1">
      <alignment horizontal="right" vertical="center"/>
    </xf>
    <xf numFmtId="3" fontId="7" fillId="0" borderId="53" xfId="0" applyNumberFormat="1" applyFont="1" applyBorder="1" applyAlignment="1">
      <alignment horizontal="right" vertical="center" wrapText="1"/>
    </xf>
    <xf numFmtId="3" fontId="1" fillId="2" borderId="2" xfId="0" applyNumberFormat="1" applyFont="1" applyFill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 vertical="center"/>
    </xf>
    <xf numFmtId="3" fontId="1" fillId="0" borderId="56" xfId="0" applyNumberFormat="1" applyFont="1" applyBorder="1" applyAlignment="1">
      <alignment horizontal="right" vertical="center"/>
    </xf>
    <xf numFmtId="3" fontId="1" fillId="0" borderId="57" xfId="0" applyNumberFormat="1" applyFont="1" applyBorder="1" applyAlignment="1">
      <alignment horizontal="right" vertical="center"/>
    </xf>
    <xf numFmtId="3" fontId="1" fillId="0" borderId="49" xfId="0" applyNumberFormat="1" applyFont="1" applyBorder="1" applyAlignment="1">
      <alignment horizontal="right" vertical="center"/>
    </xf>
    <xf numFmtId="3" fontId="1" fillId="0" borderId="59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vertical="center"/>
    </xf>
    <xf numFmtId="3" fontId="1" fillId="0" borderId="61" xfId="0" applyNumberFormat="1" applyFont="1" applyBorder="1" applyAlignment="1">
      <alignment horizontal="right" vertical="center"/>
    </xf>
    <xf numFmtId="3" fontId="1" fillId="0" borderId="62" xfId="0" applyNumberFormat="1" applyFont="1" applyBorder="1" applyAlignment="1">
      <alignment horizontal="right" vertical="center" wrapText="1"/>
    </xf>
    <xf numFmtId="3" fontId="1" fillId="0" borderId="63" xfId="0" applyNumberFormat="1" applyFont="1" applyBorder="1" applyAlignment="1">
      <alignment horizontal="right" vertical="center"/>
    </xf>
    <xf numFmtId="3" fontId="1" fillId="0" borderId="64" xfId="0" applyNumberFormat="1" applyFont="1" applyBorder="1" applyAlignment="1">
      <alignment horizontal="right" vertical="center"/>
    </xf>
    <xf numFmtId="164" fontId="1" fillId="0" borderId="43" xfId="0" applyNumberFormat="1" applyFont="1" applyBorder="1" applyAlignment="1">
      <alignment horizontal="right" vertical="center"/>
    </xf>
    <xf numFmtId="164" fontId="1" fillId="0" borderId="41" xfId="0" applyNumberFormat="1" applyFont="1" applyBorder="1" applyAlignment="1">
      <alignment horizontal="right" vertical="center"/>
    </xf>
    <xf numFmtId="164" fontId="1" fillId="0" borderId="63" xfId="0" applyNumberFormat="1" applyFont="1" applyBorder="1" applyAlignment="1">
      <alignment horizontal="right" vertical="center"/>
    </xf>
    <xf numFmtId="3" fontId="9" fillId="0" borderId="66" xfId="0" applyNumberFormat="1" applyFont="1" applyBorder="1" applyAlignment="1">
      <alignment horizontal="right" vertical="center"/>
    </xf>
    <xf numFmtId="3" fontId="9" fillId="0" borderId="67" xfId="0" applyNumberFormat="1" applyFont="1" applyBorder="1" applyAlignment="1">
      <alignment horizontal="right" vertical="center"/>
    </xf>
    <xf numFmtId="3" fontId="8" fillId="0" borderId="62" xfId="0" applyNumberFormat="1" applyFont="1" applyBorder="1" applyAlignment="1">
      <alignment horizontal="right" vertical="center" wrapText="1"/>
    </xf>
    <xf numFmtId="3" fontId="8" fillId="0" borderId="63" xfId="0" applyNumberFormat="1" applyFont="1" applyBorder="1" applyAlignment="1">
      <alignment horizontal="right" vertical="center"/>
    </xf>
    <xf numFmtId="3" fontId="8" fillId="0" borderId="64" xfId="0" applyNumberFormat="1" applyFont="1" applyBorder="1" applyAlignment="1">
      <alignment horizontal="right" vertical="center"/>
    </xf>
    <xf numFmtId="3" fontId="9" fillId="0" borderId="65" xfId="0" applyNumberFormat="1" applyFont="1" applyBorder="1" applyAlignment="1">
      <alignment horizontal="right" vertical="center" wrapText="1"/>
    </xf>
    <xf numFmtId="3" fontId="13" fillId="0" borderId="0" xfId="0" applyNumberFormat="1" applyFont="1" applyAlignment="1">
      <alignment horizontal="right" vertical="center"/>
    </xf>
    <xf numFmtId="9" fontId="1" fillId="0" borderId="0" xfId="1" applyFont="1" applyAlignment="1">
      <alignment horizontal="right" vertical="center"/>
    </xf>
    <xf numFmtId="3" fontId="1" fillId="0" borderId="44" xfId="0" applyNumberFormat="1" applyFont="1" applyBorder="1" applyAlignment="1">
      <alignment horizontal="right" vertical="center"/>
    </xf>
    <xf numFmtId="3" fontId="1" fillId="0" borderId="70" xfId="0" applyNumberFormat="1" applyFont="1" applyBorder="1" applyAlignment="1">
      <alignment horizontal="right" vertical="center"/>
    </xf>
    <xf numFmtId="9" fontId="1" fillId="0" borderId="44" xfId="1" applyFont="1" applyBorder="1" applyAlignment="1">
      <alignment horizontal="right" vertical="center"/>
    </xf>
    <xf numFmtId="9" fontId="1" fillId="0" borderId="45" xfId="1" applyFont="1" applyBorder="1" applyAlignment="1">
      <alignment horizontal="right" vertical="center"/>
    </xf>
    <xf numFmtId="9" fontId="1" fillId="0" borderId="49" xfId="1" applyFont="1" applyBorder="1" applyAlignment="1">
      <alignment horizontal="right" vertical="center"/>
    </xf>
    <xf numFmtId="3" fontId="1" fillId="0" borderId="73" xfId="0" applyNumberFormat="1" applyFont="1" applyBorder="1" applyAlignment="1">
      <alignment horizontal="right" vertical="center"/>
    </xf>
    <xf numFmtId="3" fontId="1" fillId="0" borderId="74" xfId="0" applyNumberFormat="1" applyFont="1" applyBorder="1" applyAlignment="1">
      <alignment horizontal="right" vertical="center"/>
    </xf>
    <xf numFmtId="3" fontId="1" fillId="0" borderId="75" xfId="0" applyNumberFormat="1" applyFont="1" applyBorder="1" applyAlignment="1">
      <alignment horizontal="right" vertical="center"/>
    </xf>
    <xf numFmtId="165" fontId="1" fillId="0" borderId="40" xfId="0" applyNumberFormat="1" applyFont="1" applyBorder="1" applyAlignment="1">
      <alignment horizontal="right" vertical="center"/>
    </xf>
    <xf numFmtId="165" fontId="1" fillId="0" borderId="69" xfId="0" applyNumberFormat="1" applyFont="1" applyBorder="1" applyAlignment="1">
      <alignment horizontal="right" vertical="center"/>
    </xf>
    <xf numFmtId="165" fontId="1" fillId="0" borderId="71" xfId="0" applyNumberFormat="1" applyFont="1" applyBorder="1" applyAlignment="1">
      <alignment horizontal="right" vertical="center"/>
    </xf>
    <xf numFmtId="165" fontId="1" fillId="0" borderId="72" xfId="0" applyNumberFormat="1" applyFont="1" applyBorder="1" applyAlignment="1">
      <alignment horizontal="right" vertical="center"/>
    </xf>
    <xf numFmtId="3" fontId="5" fillId="0" borderId="48" xfId="0" applyNumberFormat="1" applyFont="1" applyBorder="1" applyAlignment="1">
      <alignment horizontal="right" vertical="center"/>
    </xf>
    <xf numFmtId="9" fontId="5" fillId="0" borderId="45" xfId="1" applyFont="1" applyBorder="1" applyAlignment="1">
      <alignment horizontal="right" vertical="center"/>
    </xf>
    <xf numFmtId="3" fontId="1" fillId="0" borderId="76" xfId="0" applyNumberFormat="1" applyFont="1" applyBorder="1" applyAlignment="1">
      <alignment horizontal="right" vertical="center"/>
    </xf>
    <xf numFmtId="3" fontId="7" fillId="0" borderId="58" xfId="0" applyNumberFormat="1" applyFont="1" applyBorder="1" applyAlignment="1">
      <alignment horizontal="right" vertical="center"/>
    </xf>
    <xf numFmtId="3" fontId="5" fillId="0" borderId="40" xfId="0" applyNumberFormat="1" applyFont="1" applyBorder="1" applyAlignment="1">
      <alignment horizontal="right" vertical="center"/>
    </xf>
    <xf numFmtId="3" fontId="5" fillId="0" borderId="42" xfId="0" applyNumberFormat="1" applyFont="1" applyBorder="1" applyAlignment="1">
      <alignment horizontal="right" vertical="center"/>
    </xf>
    <xf numFmtId="37" fontId="1" fillId="0" borderId="45" xfId="1" applyNumberFormat="1" applyFont="1" applyBorder="1" applyAlignment="1">
      <alignment horizontal="right" vertical="center"/>
    </xf>
    <xf numFmtId="37" fontId="1" fillId="0" borderId="49" xfId="1" applyNumberFormat="1" applyFont="1" applyBorder="1" applyAlignment="1">
      <alignment horizontal="right" vertical="center"/>
    </xf>
    <xf numFmtId="3" fontId="6" fillId="0" borderId="74" xfId="0" applyNumberFormat="1" applyFont="1" applyBorder="1" applyAlignment="1">
      <alignment horizontal="right" vertical="center"/>
    </xf>
    <xf numFmtId="3" fontId="7" fillId="0" borderId="48" xfId="0" applyNumberFormat="1" applyFont="1" applyBorder="1" applyAlignment="1">
      <alignment horizontal="right" vertical="center"/>
    </xf>
    <xf numFmtId="37" fontId="6" fillId="0" borderId="44" xfId="1" applyNumberFormat="1" applyFont="1" applyBorder="1" applyAlignment="1">
      <alignment horizontal="right" vertical="center"/>
    </xf>
    <xf numFmtId="3" fontId="1" fillId="0" borderId="77" xfId="0" applyNumberFormat="1" applyFont="1" applyBorder="1" applyAlignment="1">
      <alignment horizontal="right" vertical="center"/>
    </xf>
    <xf numFmtId="3" fontId="1" fillId="0" borderId="78" xfId="0" applyNumberFormat="1" applyFont="1" applyBorder="1" applyAlignment="1">
      <alignment horizontal="right" vertical="center"/>
    </xf>
    <xf numFmtId="3" fontId="1" fillId="0" borderId="79" xfId="0" applyNumberFormat="1" applyFont="1" applyBorder="1" applyAlignment="1">
      <alignment horizontal="right" vertical="center"/>
    </xf>
    <xf numFmtId="3" fontId="1" fillId="0" borderId="80" xfId="0" applyNumberFormat="1" applyFont="1" applyBorder="1" applyAlignment="1">
      <alignment horizontal="right" vertical="center"/>
    </xf>
    <xf numFmtId="3" fontId="1" fillId="0" borderId="81" xfId="0" applyNumberFormat="1" applyFont="1" applyBorder="1" applyAlignment="1">
      <alignment horizontal="right" vertical="center"/>
    </xf>
    <xf numFmtId="3" fontId="1" fillId="0" borderId="82" xfId="0" applyNumberFormat="1" applyFont="1" applyBorder="1" applyAlignment="1">
      <alignment horizontal="right" vertical="center"/>
    </xf>
    <xf numFmtId="3" fontId="1" fillId="0" borderId="83" xfId="0" applyNumberFormat="1" applyFont="1" applyBorder="1" applyAlignment="1">
      <alignment horizontal="right" vertical="center"/>
    </xf>
    <xf numFmtId="3" fontId="1" fillId="0" borderId="84" xfId="0" applyNumberFormat="1" applyFont="1" applyBorder="1" applyAlignment="1">
      <alignment horizontal="right" vertical="center"/>
    </xf>
    <xf numFmtId="3" fontId="1" fillId="0" borderId="85" xfId="0" applyNumberFormat="1" applyFont="1" applyBorder="1" applyAlignment="1">
      <alignment horizontal="right" vertical="center"/>
    </xf>
    <xf numFmtId="37" fontId="6" fillId="0" borderId="45" xfId="1" applyNumberFormat="1" applyFont="1" applyBorder="1" applyAlignment="1">
      <alignment horizontal="right" vertical="center"/>
    </xf>
    <xf numFmtId="37" fontId="12" fillId="0" borderId="44" xfId="1" applyNumberFormat="1" applyFont="1" applyBorder="1" applyAlignment="1">
      <alignment horizontal="right" vertical="center"/>
    </xf>
    <xf numFmtId="3" fontId="1" fillId="0" borderId="86" xfId="0" applyNumberFormat="1" applyFont="1" applyBorder="1" applyAlignment="1">
      <alignment horizontal="right" vertical="center"/>
    </xf>
    <xf numFmtId="3" fontId="1" fillId="0" borderId="87" xfId="0" applyNumberFormat="1" applyFont="1" applyBorder="1" applyAlignment="1">
      <alignment horizontal="right" vertical="center"/>
    </xf>
    <xf numFmtId="3" fontId="1" fillId="0" borderId="88" xfId="0" applyNumberFormat="1" applyFont="1" applyBorder="1" applyAlignment="1">
      <alignment horizontal="right" vertical="center"/>
    </xf>
    <xf numFmtId="3" fontId="1" fillId="0" borderId="90" xfId="0" applyNumberFormat="1" applyFont="1" applyBorder="1" applyAlignment="1">
      <alignment horizontal="right" vertical="center"/>
    </xf>
    <xf numFmtId="3" fontId="6" fillId="0" borderId="89" xfId="0" applyNumberFormat="1" applyFont="1" applyBorder="1" applyAlignment="1">
      <alignment horizontal="right" vertical="center"/>
    </xf>
    <xf numFmtId="166" fontId="1" fillId="0" borderId="45" xfId="1" applyNumberFormat="1" applyFont="1" applyBorder="1" applyAlignment="1">
      <alignment horizontal="right" vertical="center"/>
    </xf>
    <xf numFmtId="166" fontId="1" fillId="0" borderId="49" xfId="1" applyNumberFormat="1" applyFont="1" applyBorder="1" applyAlignment="1">
      <alignment horizontal="right" vertical="center"/>
    </xf>
    <xf numFmtId="166" fontId="6" fillId="0" borderId="44" xfId="1" applyNumberFormat="1" applyFont="1" applyBorder="1" applyAlignment="1">
      <alignment horizontal="right" vertical="center"/>
    </xf>
    <xf numFmtId="166" fontId="12" fillId="0" borderId="45" xfId="1" applyNumberFormat="1" applyFont="1" applyBorder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3" fontId="1" fillId="0" borderId="91" xfId="0" applyNumberFormat="1" applyFont="1" applyBorder="1" applyAlignment="1">
      <alignment horizontal="right" vertical="center"/>
    </xf>
    <xf numFmtId="3" fontId="1" fillId="2" borderId="57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/>
    <xf numFmtId="3" fontId="1" fillId="2" borderId="0" xfId="0" applyNumberFormat="1" applyFont="1" applyFill="1" applyAlignment="1">
      <alignment horizontal="right" vertical="center"/>
    </xf>
    <xf numFmtId="3" fontId="1" fillId="0" borderId="92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18" fillId="0" borderId="23" xfId="0" applyNumberFormat="1" applyFont="1" applyBorder="1" applyAlignment="1">
      <alignment horizontal="right" vertical="center" wrapText="1"/>
    </xf>
    <xf numFmtId="3" fontId="7" fillId="0" borderId="53" xfId="0" applyNumberFormat="1" applyFont="1" applyBorder="1" applyAlignment="1">
      <alignment horizontal="right" vertical="center"/>
    </xf>
    <xf numFmtId="3" fontId="4" fillId="0" borderId="53" xfId="0" applyNumberFormat="1" applyFont="1" applyBorder="1" applyAlignment="1">
      <alignment horizontal="right" vertical="center"/>
    </xf>
    <xf numFmtId="3" fontId="4" fillId="2" borderId="55" xfId="0" applyNumberFormat="1" applyFont="1" applyFill="1" applyBorder="1" applyAlignment="1">
      <alignment horizontal="right" vertical="center"/>
    </xf>
    <xf numFmtId="3" fontId="1" fillId="2" borderId="79" xfId="0" applyNumberFormat="1" applyFont="1" applyFill="1" applyBorder="1" applyAlignment="1">
      <alignment horizontal="right" vertical="center"/>
    </xf>
    <xf numFmtId="3" fontId="1" fillId="2" borderId="82" xfId="0" applyNumberFormat="1" applyFont="1" applyFill="1" applyBorder="1" applyAlignment="1">
      <alignment horizontal="right" vertical="center"/>
    </xf>
    <xf numFmtId="3" fontId="1" fillId="2" borderId="85" xfId="0" applyNumberFormat="1" applyFont="1" applyFill="1" applyBorder="1" applyAlignment="1">
      <alignment horizontal="right" vertical="center"/>
    </xf>
    <xf numFmtId="3" fontId="1" fillId="0" borderId="77" xfId="0" applyNumberFormat="1" applyFont="1" applyBorder="1" applyAlignment="1">
      <alignment horizontal="right" vertical="center" wrapText="1"/>
    </xf>
    <xf numFmtId="3" fontId="1" fillId="0" borderId="83" xfId="0" applyNumberFormat="1" applyFont="1" applyBorder="1" applyAlignment="1">
      <alignment horizontal="right" vertical="center" wrapText="1"/>
    </xf>
    <xf numFmtId="9" fontId="1" fillId="2" borderId="79" xfId="1" applyFont="1" applyFill="1" applyBorder="1" applyAlignment="1">
      <alignment horizontal="right" vertical="center"/>
    </xf>
    <xf numFmtId="3" fontId="1" fillId="0" borderId="80" xfId="0" applyNumberFormat="1" applyFont="1" applyBorder="1" applyAlignment="1">
      <alignment horizontal="right" vertical="center" wrapText="1"/>
    </xf>
    <xf numFmtId="9" fontId="1" fillId="2" borderId="82" xfId="1" applyFont="1" applyFill="1" applyBorder="1" applyAlignment="1">
      <alignment horizontal="right" vertical="center"/>
    </xf>
    <xf numFmtId="39" fontId="1" fillId="2" borderId="85" xfId="1" applyNumberFormat="1" applyFont="1" applyFill="1" applyBorder="1" applyAlignment="1">
      <alignment horizontal="right" vertical="center"/>
    </xf>
    <xf numFmtId="39" fontId="1" fillId="2" borderId="79" xfId="1" applyNumberFormat="1" applyFont="1" applyFill="1" applyBorder="1" applyAlignment="1">
      <alignment horizontal="right" vertical="center"/>
    </xf>
    <xf numFmtId="9" fontId="1" fillId="2" borderId="85" xfId="1" applyFont="1" applyFill="1" applyBorder="1" applyAlignment="1">
      <alignment horizontal="right" vertical="center"/>
    </xf>
    <xf numFmtId="3" fontId="1" fillId="0" borderId="93" xfId="0" applyNumberFormat="1" applyFont="1" applyBorder="1" applyAlignment="1">
      <alignment horizontal="right" vertical="center"/>
    </xf>
    <xf numFmtId="3" fontId="1" fillId="0" borderId="94" xfId="0" applyNumberFormat="1" applyFont="1" applyBorder="1" applyAlignment="1">
      <alignment horizontal="right" vertical="center"/>
    </xf>
    <xf numFmtId="3" fontId="1" fillId="0" borderId="68" xfId="0" applyNumberFormat="1" applyFont="1" applyBorder="1" applyAlignment="1">
      <alignment horizontal="right" vertical="center"/>
    </xf>
    <xf numFmtId="3" fontId="1" fillId="0" borderId="95" xfId="0" applyNumberFormat="1" applyFont="1" applyBorder="1" applyAlignment="1">
      <alignment horizontal="right" vertical="center"/>
    </xf>
    <xf numFmtId="3" fontId="1" fillId="0" borderId="96" xfId="0" applyNumberFormat="1" applyFont="1" applyBorder="1" applyAlignment="1">
      <alignment horizontal="right" vertical="center"/>
    </xf>
    <xf numFmtId="3" fontId="1" fillId="0" borderId="97" xfId="0" applyNumberFormat="1" applyFont="1" applyBorder="1" applyAlignment="1">
      <alignment horizontal="right" vertical="center"/>
    </xf>
    <xf numFmtId="3" fontId="1" fillId="0" borderId="98" xfId="0" applyNumberFormat="1" applyFont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435429</xdr:colOff>
      <xdr:row>99</xdr:row>
      <xdr:rowOff>27214</xdr:rowOff>
    </xdr:from>
    <xdr:to>
      <xdr:col>17</xdr:col>
      <xdr:colOff>183028</xdr:colOff>
      <xdr:row>99</xdr:row>
      <xdr:rowOff>693165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9341144-4790-4241-8713-D5D752D148AD}"/>
            </a:ext>
          </a:extLst>
        </xdr:cNvPr>
        <xdr:cNvSpPr txBox="1"/>
      </xdr:nvSpPr>
      <xdr:spPr>
        <a:xfrm>
          <a:off x="10392861972" y="26524857"/>
          <a:ext cx="6288099" cy="665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he-IL" sz="1600" b="1"/>
            <a:t>טבלאות רגישות לבחינת כיצד שינויים</a:t>
          </a:r>
          <a:r>
            <a:rPr lang="he-IL" sz="1600" b="1" baseline="0"/>
            <a:t> בפרמטרים שונים, התלויים בסוג הפסולת ובאופן תיפעול המערכת, משפיעים רווח שנתי אחרי החזר הון</a:t>
          </a:r>
          <a:endParaRPr lang="en-IL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pageSetUpPr fitToPage="1"/>
  </sheetPr>
  <dimension ref="B1:R159"/>
  <sheetViews>
    <sheetView rightToLeft="1" tabSelected="1" zoomScale="60" zoomScaleNormal="60" workbookViewId="0">
      <selection activeCell="D9" sqref="D9"/>
    </sheetView>
  </sheetViews>
  <sheetFormatPr defaultColWidth="9" defaultRowHeight="15.9" x14ac:dyDescent="0.4"/>
  <cols>
    <col min="1" max="1" width="9" style="2"/>
    <col min="2" max="2" width="43.4609375" style="2" customWidth="1"/>
    <col min="3" max="3" width="20" style="2" customWidth="1"/>
    <col min="4" max="4" width="13.84375" style="2" customWidth="1"/>
    <col min="5" max="5" width="11.4609375" style="2" customWidth="1"/>
    <col min="6" max="6" width="29.61328125" style="2" customWidth="1"/>
    <col min="7" max="7" width="11.3046875" style="2" customWidth="1"/>
    <col min="8" max="8" width="9" style="2"/>
    <col min="9" max="9" width="15" style="2" customWidth="1"/>
    <col min="10" max="10" width="9" style="2"/>
    <col min="11" max="11" width="9" style="2" customWidth="1"/>
    <col min="12" max="12" width="9" style="2"/>
    <col min="13" max="13" width="10" style="2" bestFit="1" customWidth="1"/>
    <col min="14" max="14" width="10.69140625" style="2" customWidth="1"/>
    <col min="15" max="16384" width="9" style="2"/>
  </cols>
  <sheetData>
    <row r="1" spans="2:9" ht="26.15" x14ac:dyDescent="0.4">
      <c r="B1" s="1" t="s">
        <v>0</v>
      </c>
    </row>
    <row r="2" spans="2:9" x14ac:dyDescent="0.4">
      <c r="B2" s="2" t="s">
        <v>113</v>
      </c>
    </row>
    <row r="3" spans="2:9" ht="26.15" x14ac:dyDescent="0.4">
      <c r="B3" s="82" t="s">
        <v>86</v>
      </c>
      <c r="C3" s="171"/>
    </row>
    <row r="5" spans="2:9" ht="28.75" thickBot="1" x14ac:dyDescent="0.45">
      <c r="B5" s="11" t="s">
        <v>1</v>
      </c>
    </row>
    <row r="6" spans="2:9" ht="23.6" thickBot="1" x14ac:dyDescent="0.45">
      <c r="B6" s="175" t="s">
        <v>2</v>
      </c>
      <c r="C6" s="98" t="s">
        <v>3</v>
      </c>
      <c r="D6" s="193" t="s">
        <v>32</v>
      </c>
      <c r="E6" s="194"/>
      <c r="F6" s="194"/>
      <c r="G6" s="194"/>
      <c r="H6" s="194"/>
      <c r="I6" s="195"/>
    </row>
    <row r="7" spans="2:9" ht="16.3" thickBot="1" x14ac:dyDescent="0.45">
      <c r="B7" s="176" t="s">
        <v>14</v>
      </c>
      <c r="C7" s="177">
        <v>400</v>
      </c>
      <c r="D7" s="193"/>
      <c r="E7" s="194"/>
      <c r="F7" s="194"/>
      <c r="G7" s="194"/>
      <c r="H7" s="194"/>
      <c r="I7" s="195"/>
    </row>
    <row r="8" spans="2:9" x14ac:dyDescent="0.4">
      <c r="B8" s="145" t="s">
        <v>4</v>
      </c>
      <c r="C8" s="178" t="s">
        <v>5</v>
      </c>
      <c r="D8" s="172"/>
      <c r="E8" s="173"/>
      <c r="F8" s="173"/>
      <c r="G8" s="173"/>
      <c r="H8" s="173"/>
      <c r="I8" s="189"/>
    </row>
    <row r="9" spans="2:9" ht="15.9" customHeight="1" x14ac:dyDescent="0.4">
      <c r="B9" s="166" t="s">
        <v>115</v>
      </c>
      <c r="C9" s="167">
        <v>7</v>
      </c>
      <c r="D9" s="172" t="s">
        <v>118</v>
      </c>
      <c r="E9" s="173"/>
      <c r="F9" s="173"/>
      <c r="G9" s="173"/>
      <c r="H9" s="173"/>
      <c r="I9" s="189"/>
    </row>
    <row r="10" spans="2:9" ht="15.9" customHeight="1" x14ac:dyDescent="0.4">
      <c r="B10" s="148" t="s">
        <v>110</v>
      </c>
      <c r="C10" s="179">
        <v>7</v>
      </c>
      <c r="D10" s="172" t="s">
        <v>117</v>
      </c>
      <c r="E10" s="173"/>
      <c r="F10" s="173"/>
      <c r="G10" s="173"/>
      <c r="H10" s="173"/>
      <c r="I10" s="189"/>
    </row>
    <row r="11" spans="2:9" ht="16.3" thickBot="1" x14ac:dyDescent="0.45">
      <c r="B11" s="151" t="s">
        <v>6</v>
      </c>
      <c r="C11" s="180">
        <v>40</v>
      </c>
      <c r="D11" s="190" t="s">
        <v>87</v>
      </c>
      <c r="E11" s="191"/>
      <c r="F11" s="191"/>
      <c r="G11" s="191"/>
      <c r="H11" s="191"/>
      <c r="I11" s="192"/>
    </row>
    <row r="12" spans="2:9" ht="31.75" x14ac:dyDescent="0.4">
      <c r="B12" s="181" t="s">
        <v>7</v>
      </c>
      <c r="C12" s="178">
        <v>12500</v>
      </c>
      <c r="D12" s="172"/>
      <c r="E12" s="173"/>
      <c r="F12" s="173"/>
      <c r="G12" s="173"/>
      <c r="H12" s="173"/>
      <c r="I12" s="189"/>
    </row>
    <row r="13" spans="2:9" ht="32.15" thickBot="1" x14ac:dyDescent="0.45">
      <c r="B13" s="182" t="s">
        <v>8</v>
      </c>
      <c r="C13" s="180">
        <v>135</v>
      </c>
      <c r="D13" s="190" t="s">
        <v>88</v>
      </c>
      <c r="E13" s="191"/>
      <c r="F13" s="191"/>
      <c r="G13" s="191"/>
      <c r="H13" s="191"/>
      <c r="I13" s="192"/>
    </row>
    <row r="14" spans="2:9" ht="31.75" x14ac:dyDescent="0.4">
      <c r="B14" s="181" t="s">
        <v>18</v>
      </c>
      <c r="C14" s="183">
        <v>0.95</v>
      </c>
      <c r="D14" s="172"/>
      <c r="E14" s="173"/>
      <c r="F14" s="173"/>
      <c r="G14" s="173"/>
      <c r="H14" s="173"/>
      <c r="I14" s="189"/>
    </row>
    <row r="15" spans="2:9" x14ac:dyDescent="0.4">
      <c r="B15" s="184" t="s">
        <v>19</v>
      </c>
      <c r="C15" s="185">
        <v>0.35</v>
      </c>
      <c r="D15" s="172"/>
      <c r="E15" s="173"/>
      <c r="F15" s="173"/>
      <c r="G15" s="173"/>
      <c r="H15" s="173"/>
      <c r="I15" s="189"/>
    </row>
    <row r="16" spans="2:9" x14ac:dyDescent="0.4">
      <c r="B16" s="148" t="s">
        <v>9</v>
      </c>
      <c r="C16" s="185">
        <v>0.5</v>
      </c>
      <c r="D16" s="172"/>
      <c r="E16" s="173"/>
      <c r="F16" s="173"/>
      <c r="G16" s="173"/>
      <c r="H16" s="173"/>
      <c r="I16" s="189"/>
    </row>
    <row r="17" spans="2:9" x14ac:dyDescent="0.4">
      <c r="B17" s="148" t="s">
        <v>77</v>
      </c>
      <c r="C17" s="185">
        <v>0.25</v>
      </c>
      <c r="D17" s="172"/>
      <c r="E17" s="173"/>
      <c r="F17" s="173"/>
      <c r="G17" s="173"/>
      <c r="H17" s="173"/>
      <c r="I17" s="189"/>
    </row>
    <row r="18" spans="2:9" ht="16.3" thickBot="1" x14ac:dyDescent="0.45">
      <c r="B18" s="151" t="s">
        <v>41</v>
      </c>
      <c r="C18" s="186">
        <v>1.5</v>
      </c>
      <c r="D18" s="190"/>
      <c r="E18" s="191"/>
      <c r="F18" s="191"/>
      <c r="G18" s="191"/>
      <c r="H18" s="191"/>
      <c r="I18" s="192"/>
    </row>
    <row r="19" spans="2:9" x14ac:dyDescent="0.4">
      <c r="B19" s="145" t="s">
        <v>20</v>
      </c>
      <c r="C19" s="187">
        <v>8</v>
      </c>
      <c r="D19" s="172"/>
      <c r="E19" s="173"/>
      <c r="F19" s="173"/>
      <c r="G19" s="173"/>
      <c r="H19" s="173"/>
      <c r="I19" s="189"/>
    </row>
    <row r="20" spans="2:9" x14ac:dyDescent="0.4">
      <c r="B20" s="148" t="s">
        <v>10</v>
      </c>
      <c r="C20" s="185">
        <v>0.55000000000000004</v>
      </c>
      <c r="D20" s="172"/>
      <c r="E20" s="173"/>
      <c r="F20" s="173"/>
      <c r="G20" s="173"/>
      <c r="H20" s="173"/>
      <c r="I20" s="189"/>
    </row>
    <row r="21" spans="2:9" x14ac:dyDescent="0.4">
      <c r="B21" s="148" t="s">
        <v>13</v>
      </c>
      <c r="C21" s="185">
        <v>0.3</v>
      </c>
      <c r="D21" s="172"/>
      <c r="E21" s="173"/>
      <c r="F21" s="173"/>
      <c r="G21" s="173"/>
      <c r="H21" s="173"/>
      <c r="I21" s="189"/>
    </row>
    <row r="22" spans="2:9" ht="16.3" thickBot="1" x14ac:dyDescent="0.45">
      <c r="B22" s="151" t="s">
        <v>12</v>
      </c>
      <c r="C22" s="188">
        <v>0.15</v>
      </c>
      <c r="D22" s="190"/>
      <c r="E22" s="191"/>
      <c r="F22" s="191"/>
      <c r="G22" s="191"/>
      <c r="H22" s="191"/>
      <c r="I22" s="192"/>
    </row>
    <row r="23" spans="2:9" x14ac:dyDescent="0.4">
      <c r="B23" s="145" t="s">
        <v>33</v>
      </c>
      <c r="C23" s="187">
        <v>3.65</v>
      </c>
      <c r="D23" s="172"/>
      <c r="E23" s="173"/>
      <c r="F23" s="173"/>
      <c r="G23" s="173"/>
      <c r="H23" s="173"/>
      <c r="I23" s="189"/>
    </row>
    <row r="24" spans="2:9" ht="16.3" thickBot="1" x14ac:dyDescent="0.45">
      <c r="B24" s="151" t="s">
        <v>34</v>
      </c>
      <c r="C24" s="188">
        <v>0.11</v>
      </c>
      <c r="D24" s="190"/>
      <c r="E24" s="191"/>
      <c r="F24" s="191"/>
      <c r="G24" s="191"/>
      <c r="H24" s="191"/>
      <c r="I24" s="192"/>
    </row>
    <row r="27" spans="2:9" ht="31.3" thickBot="1" x14ac:dyDescent="0.45">
      <c r="B27" s="21" t="s">
        <v>11</v>
      </c>
    </row>
    <row r="28" spans="2:9" ht="32.15" thickBot="1" x14ac:dyDescent="0.45">
      <c r="B28" s="18" t="s">
        <v>2</v>
      </c>
      <c r="C28" s="20" t="s">
        <v>25</v>
      </c>
      <c r="D28" s="19" t="s">
        <v>17</v>
      </c>
      <c r="E28" s="44" t="s">
        <v>31</v>
      </c>
      <c r="F28" s="8" t="s">
        <v>32</v>
      </c>
    </row>
    <row r="29" spans="2:9" ht="31.75" x14ac:dyDescent="0.4">
      <c r="B29" s="33" t="s">
        <v>15</v>
      </c>
      <c r="C29" s="34" t="s">
        <v>24</v>
      </c>
      <c r="D29" s="35">
        <f>C12*C13*C14/1000/1000</f>
        <v>1.6031249999999999</v>
      </c>
      <c r="E29" s="83"/>
      <c r="F29" s="42"/>
    </row>
    <row r="30" spans="2:9" ht="31.75" x14ac:dyDescent="0.4">
      <c r="B30" s="36" t="s">
        <v>16</v>
      </c>
      <c r="C30" s="37" t="s">
        <v>23</v>
      </c>
      <c r="D30" s="38">
        <f>D29*C7*C11/1000</f>
        <v>25.65</v>
      </c>
      <c r="E30" s="84">
        <f>400*C23</f>
        <v>1460</v>
      </c>
      <c r="F30" s="43" t="s">
        <v>36</v>
      </c>
    </row>
    <row r="31" spans="2:9" ht="31.75" x14ac:dyDescent="0.4">
      <c r="B31" s="36" t="s">
        <v>26</v>
      </c>
      <c r="C31" s="37" t="s">
        <v>23</v>
      </c>
      <c r="D31" s="38">
        <f>D30*C15</f>
        <v>8.9774999999999991</v>
      </c>
      <c r="E31" s="84">
        <f>1500*C23</f>
        <v>5475</v>
      </c>
      <c r="F31" s="43" t="s">
        <v>35</v>
      </c>
    </row>
    <row r="32" spans="2:9" ht="32.15" thickBot="1" x14ac:dyDescent="0.45">
      <c r="B32" s="39" t="s">
        <v>27</v>
      </c>
      <c r="C32" s="40" t="s">
        <v>23</v>
      </c>
      <c r="D32" s="41">
        <f>D31*C16</f>
        <v>4.4887499999999996</v>
      </c>
      <c r="E32" s="85">
        <f>4000*C23</f>
        <v>14600</v>
      </c>
      <c r="F32" s="30" t="s">
        <v>37</v>
      </c>
    </row>
    <row r="33" spans="2:6" ht="16.3" thickBot="1" x14ac:dyDescent="0.45">
      <c r="B33" s="71" t="s">
        <v>84</v>
      </c>
      <c r="C33" s="22" t="s">
        <v>23</v>
      </c>
      <c r="D33" s="32">
        <f>D31*C17</f>
        <v>2.2443749999999998</v>
      </c>
      <c r="E33" s="86">
        <f>900*C23</f>
        <v>3285</v>
      </c>
      <c r="F33" s="29" t="s">
        <v>78</v>
      </c>
    </row>
    <row r="34" spans="2:6" ht="16.3" thickBot="1" x14ac:dyDescent="0.45">
      <c r="B34" s="45" t="s">
        <v>42</v>
      </c>
      <c r="C34" s="46" t="s">
        <v>23</v>
      </c>
      <c r="D34" s="47">
        <f>C18*C11*C7/1000</f>
        <v>24</v>
      </c>
      <c r="E34" s="86">
        <v>600</v>
      </c>
      <c r="F34" s="29" t="s">
        <v>116</v>
      </c>
    </row>
    <row r="35" spans="2:6" ht="32.15" thickBot="1" x14ac:dyDescent="0.45">
      <c r="B35" s="31" t="s">
        <v>29</v>
      </c>
      <c r="C35" s="22" t="s">
        <v>28</v>
      </c>
      <c r="D35" s="23">
        <f>C12*C11*C7/50000</f>
        <v>4000</v>
      </c>
      <c r="E35" s="87">
        <f>2*C23</f>
        <v>7.3</v>
      </c>
      <c r="F35" s="8" t="s">
        <v>38</v>
      </c>
    </row>
    <row r="36" spans="2:6" x14ac:dyDescent="0.4">
      <c r="B36" s="3" t="s">
        <v>21</v>
      </c>
      <c r="C36" s="4" t="s">
        <v>23</v>
      </c>
      <c r="D36" s="24">
        <f>C19*C20*C7*C11/1000</f>
        <v>70.40000000000002</v>
      </c>
      <c r="E36" s="83">
        <v>-130</v>
      </c>
      <c r="F36" s="174"/>
    </row>
    <row r="37" spans="2:6" x14ac:dyDescent="0.4">
      <c r="B37" s="5" t="s">
        <v>51</v>
      </c>
      <c r="C37" s="6" t="s">
        <v>23</v>
      </c>
      <c r="D37" s="25">
        <f>C19*C21*C7*C11/1000</f>
        <v>38.4</v>
      </c>
      <c r="E37" s="84">
        <v>50</v>
      </c>
      <c r="F37" s="43" t="s">
        <v>39</v>
      </c>
    </row>
    <row r="38" spans="2:6" ht="16.3" thickBot="1" x14ac:dyDescent="0.45">
      <c r="B38" s="26" t="s">
        <v>22</v>
      </c>
      <c r="C38" s="27" t="s">
        <v>23</v>
      </c>
      <c r="D38" s="28">
        <f>C19*C22*C7*C11/1000</f>
        <v>19.2</v>
      </c>
      <c r="E38" s="85">
        <v>10</v>
      </c>
      <c r="F38" s="30" t="s">
        <v>40</v>
      </c>
    </row>
    <row r="39" spans="2:6" ht="21" thickBot="1" x14ac:dyDescent="0.45">
      <c r="B39" s="17" t="s">
        <v>80</v>
      </c>
      <c r="C39" s="72"/>
      <c r="D39" s="73">
        <f>D32/SUM(D36:D38)</f>
        <v>3.5068359374999997E-2</v>
      </c>
    </row>
    <row r="43" spans="2:6" ht="23.6" thickBot="1" x14ac:dyDescent="0.45">
      <c r="B43" s="9" t="s">
        <v>45</v>
      </c>
    </row>
    <row r="44" spans="2:6" ht="16.3" thickBot="1" x14ac:dyDescent="0.45">
      <c r="B44" s="15" t="s">
        <v>2</v>
      </c>
      <c r="C44" s="49" t="s">
        <v>43</v>
      </c>
      <c r="D44" s="49" t="s">
        <v>30</v>
      </c>
      <c r="E44" s="49" t="s">
        <v>3</v>
      </c>
      <c r="F44" s="16" t="s">
        <v>44</v>
      </c>
    </row>
    <row r="45" spans="2:6" x14ac:dyDescent="0.4">
      <c r="B45" s="3" t="s">
        <v>47</v>
      </c>
      <c r="C45" s="4" t="s">
        <v>46</v>
      </c>
      <c r="D45" s="50">
        <f>E30</f>
        <v>1460</v>
      </c>
      <c r="E45" s="50">
        <f>D30</f>
        <v>25.65</v>
      </c>
      <c r="F45" s="90">
        <f>E45*D45</f>
        <v>37449</v>
      </c>
    </row>
    <row r="46" spans="2:6" x14ac:dyDescent="0.4">
      <c r="B46" s="5" t="s">
        <v>89</v>
      </c>
      <c r="C46" s="6" t="s">
        <v>46</v>
      </c>
      <c r="D46" s="51">
        <f>E34</f>
        <v>600</v>
      </c>
      <c r="E46" s="51">
        <f>D34</f>
        <v>24</v>
      </c>
      <c r="F46" s="91">
        <f>E46*D46</f>
        <v>14400</v>
      </c>
    </row>
    <row r="47" spans="2:6" ht="21" thickBot="1" x14ac:dyDescent="0.45">
      <c r="B47" s="52" t="s">
        <v>49</v>
      </c>
      <c r="C47" s="53"/>
      <c r="D47" s="54"/>
      <c r="E47" s="54"/>
      <c r="F47" s="92">
        <f>SUM(F45:F46)</f>
        <v>51849</v>
      </c>
    </row>
    <row r="48" spans="2:6" ht="16.3" thickBot="1" x14ac:dyDescent="0.45">
      <c r="D48" s="12"/>
      <c r="E48" s="12"/>
      <c r="F48" s="12"/>
    </row>
    <row r="49" spans="2:18" ht="20.6" x14ac:dyDescent="0.4">
      <c r="B49" s="62" t="s">
        <v>52</v>
      </c>
      <c r="C49" s="55"/>
      <c r="D49" s="56"/>
      <c r="E49" s="56"/>
      <c r="F49" s="57"/>
    </row>
    <row r="50" spans="2:18" x14ac:dyDescent="0.4">
      <c r="B50" s="58" t="s">
        <v>90</v>
      </c>
      <c r="C50" s="59" t="s">
        <v>28</v>
      </c>
      <c r="D50" s="60">
        <f>E35</f>
        <v>7.3</v>
      </c>
      <c r="E50" s="60">
        <f>D35</f>
        <v>4000</v>
      </c>
      <c r="F50" s="88">
        <f>E50*D50</f>
        <v>29200</v>
      </c>
    </row>
    <row r="51" spans="2:18" x14ac:dyDescent="0.4">
      <c r="B51" s="58" t="s">
        <v>91</v>
      </c>
      <c r="C51" s="59" t="s">
        <v>94</v>
      </c>
      <c r="D51" s="60">
        <f>E36</f>
        <v>-130</v>
      </c>
      <c r="E51" s="60">
        <f>D36</f>
        <v>70.40000000000002</v>
      </c>
      <c r="F51" s="88">
        <f>E51*D51</f>
        <v>-9152.0000000000018</v>
      </c>
    </row>
    <row r="52" spans="2:18" x14ac:dyDescent="0.4">
      <c r="B52" s="58" t="s">
        <v>50</v>
      </c>
      <c r="C52" s="59" t="s">
        <v>94</v>
      </c>
      <c r="D52" s="60">
        <f>E37</f>
        <v>50</v>
      </c>
      <c r="E52" s="60">
        <f>D37</f>
        <v>38.4</v>
      </c>
      <c r="F52" s="88">
        <f>E52*D52</f>
        <v>1920</v>
      </c>
    </row>
    <row r="53" spans="2:18" x14ac:dyDescent="0.4">
      <c r="B53" s="58" t="s">
        <v>93</v>
      </c>
      <c r="C53" s="59" t="s">
        <v>94</v>
      </c>
      <c r="D53" s="60">
        <f>E38</f>
        <v>10</v>
      </c>
      <c r="E53" s="60">
        <f>D38</f>
        <v>19.2</v>
      </c>
      <c r="F53" s="88">
        <f>E53*D53</f>
        <v>192</v>
      </c>
    </row>
    <row r="54" spans="2:18" ht="18.899999999999999" thickBot="1" x14ac:dyDescent="0.45">
      <c r="B54" s="66" t="s">
        <v>85</v>
      </c>
      <c r="C54" s="67"/>
      <c r="D54" s="67"/>
      <c r="E54" s="67"/>
      <c r="F54" s="89">
        <f>SUM(F50:F53)</f>
        <v>22160</v>
      </c>
    </row>
    <row r="55" spans="2:18" x14ac:dyDescent="0.4">
      <c r="B55" s="5" t="s">
        <v>92</v>
      </c>
      <c r="C55" s="6"/>
      <c r="D55" s="6"/>
      <c r="E55" s="6"/>
      <c r="F55" s="93">
        <v>2500</v>
      </c>
    </row>
    <row r="56" spans="2:18" x14ac:dyDescent="0.4">
      <c r="B56" s="5" t="s">
        <v>65</v>
      </c>
      <c r="C56" s="6"/>
      <c r="D56" s="6"/>
      <c r="E56" s="6"/>
      <c r="F56" s="93">
        <v>1000</v>
      </c>
    </row>
    <row r="57" spans="2:18" x14ac:dyDescent="0.4">
      <c r="B57" s="5" t="s">
        <v>66</v>
      </c>
      <c r="C57" s="6"/>
      <c r="D57" s="6"/>
      <c r="E57" s="6"/>
      <c r="F57" s="93">
        <v>5000</v>
      </c>
    </row>
    <row r="58" spans="2:18" x14ac:dyDescent="0.4">
      <c r="B58" s="5" t="s">
        <v>76</v>
      </c>
      <c r="C58" s="6"/>
      <c r="D58" s="6"/>
      <c r="E58" s="6"/>
      <c r="F58" s="93">
        <v>20000</v>
      </c>
    </row>
    <row r="59" spans="2:18" ht="18.45" x14ac:dyDescent="0.4">
      <c r="B59" s="5" t="s">
        <v>95</v>
      </c>
      <c r="C59" s="6"/>
      <c r="D59" s="51">
        <v>0.6</v>
      </c>
      <c r="E59" s="6">
        <f>24*C11*C10</f>
        <v>6720</v>
      </c>
      <c r="F59" s="93">
        <f>E59*D59</f>
        <v>4032</v>
      </c>
      <c r="R59" s="165"/>
    </row>
    <row r="60" spans="2:18" x14ac:dyDescent="0.4">
      <c r="B60" s="5" t="s">
        <v>67</v>
      </c>
      <c r="C60" s="6"/>
      <c r="D60" s="6"/>
      <c r="E60" s="6"/>
      <c r="F60" s="93">
        <v>0</v>
      </c>
    </row>
    <row r="61" spans="2:18" x14ac:dyDescent="0.4">
      <c r="B61" s="5" t="s">
        <v>68</v>
      </c>
      <c r="C61" s="6"/>
      <c r="D61" s="6"/>
      <c r="E61" s="6"/>
      <c r="F61" s="93">
        <v>0</v>
      </c>
    </row>
    <row r="62" spans="2:18" x14ac:dyDescent="0.4">
      <c r="B62" s="5" t="s">
        <v>69</v>
      </c>
      <c r="C62" s="6"/>
      <c r="D62" s="6"/>
      <c r="E62" s="6"/>
      <c r="F62" s="93">
        <v>0</v>
      </c>
    </row>
    <row r="63" spans="2:18" x14ac:dyDescent="0.4">
      <c r="B63" s="5" t="s">
        <v>70</v>
      </c>
      <c r="C63" s="6"/>
      <c r="D63" s="6"/>
      <c r="E63" s="6"/>
      <c r="F63" s="93">
        <v>0</v>
      </c>
    </row>
    <row r="64" spans="2:18" x14ac:dyDescent="0.4">
      <c r="B64" s="5" t="s">
        <v>71</v>
      </c>
      <c r="C64" s="6"/>
      <c r="D64" s="6"/>
      <c r="E64" s="6"/>
      <c r="F64" s="93">
        <v>0</v>
      </c>
    </row>
    <row r="65" spans="2:6" x14ac:dyDescent="0.4">
      <c r="B65" s="5" t="s">
        <v>72</v>
      </c>
      <c r="C65" s="6"/>
      <c r="D65" s="6"/>
      <c r="E65" s="6"/>
      <c r="F65" s="93">
        <v>0</v>
      </c>
    </row>
    <row r="66" spans="2:6" x14ac:dyDescent="0.4">
      <c r="B66" s="5" t="s">
        <v>73</v>
      </c>
      <c r="C66" s="6"/>
      <c r="D66" s="6"/>
      <c r="E66" s="6"/>
      <c r="F66" s="93">
        <v>0</v>
      </c>
    </row>
    <row r="67" spans="2:6" x14ac:dyDescent="0.4">
      <c r="B67" s="5"/>
      <c r="C67" s="6"/>
      <c r="D67" s="6"/>
      <c r="E67" s="6"/>
      <c r="F67" s="93"/>
    </row>
    <row r="68" spans="2:6" x14ac:dyDescent="0.4">
      <c r="B68" s="5" t="s">
        <v>74</v>
      </c>
      <c r="C68" s="6"/>
      <c r="D68" s="6"/>
      <c r="E68" s="6"/>
      <c r="F68" s="43">
        <f>SUM(F55:F67)*10%</f>
        <v>3253.2000000000003</v>
      </c>
    </row>
    <row r="69" spans="2:6" ht="23.6" thickBot="1" x14ac:dyDescent="0.45">
      <c r="B69" s="68" t="s">
        <v>75</v>
      </c>
      <c r="C69" s="69"/>
      <c r="D69" s="69"/>
      <c r="E69" s="69"/>
      <c r="F69" s="70">
        <f>SUM(F55:F68)</f>
        <v>35785.199999999997</v>
      </c>
    </row>
    <row r="70" spans="2:6" ht="32.25" customHeight="1" thickBot="1" x14ac:dyDescent="0.45">
      <c r="B70" s="94" t="s">
        <v>96</v>
      </c>
      <c r="C70" s="95"/>
      <c r="D70" s="95"/>
      <c r="E70" s="95"/>
      <c r="F70" s="96">
        <f>F69+F54</f>
        <v>57945.2</v>
      </c>
    </row>
    <row r="71" spans="2:6" ht="49.5" customHeight="1" thickBot="1" x14ac:dyDescent="0.45">
      <c r="B71" s="99" t="s">
        <v>97</v>
      </c>
      <c r="C71" s="97"/>
      <c r="D71" s="97"/>
      <c r="E71" s="97"/>
      <c r="F71" s="98">
        <f>F47-F70</f>
        <v>-6096.1999999999971</v>
      </c>
    </row>
    <row r="72" spans="2:6" ht="32.25" customHeight="1" x14ac:dyDescent="0.4">
      <c r="B72" s="9"/>
      <c r="C72" s="9"/>
      <c r="D72" s="9"/>
      <c r="E72" s="9"/>
      <c r="F72" s="9"/>
    </row>
    <row r="74" spans="2:6" ht="26.6" thickBot="1" x14ac:dyDescent="0.45">
      <c r="B74" s="10" t="s">
        <v>53</v>
      </c>
    </row>
    <row r="75" spans="2:6" ht="32.15" thickBot="1" x14ac:dyDescent="0.45">
      <c r="B75" s="15" t="s">
        <v>2</v>
      </c>
      <c r="C75" s="49" t="s">
        <v>44</v>
      </c>
      <c r="D75" s="63" t="s">
        <v>62</v>
      </c>
      <c r="E75" s="64" t="s">
        <v>63</v>
      </c>
    </row>
    <row r="76" spans="2:6" x14ac:dyDescent="0.4">
      <c r="B76" s="3" t="s">
        <v>54</v>
      </c>
      <c r="C76" s="100">
        <v>500</v>
      </c>
      <c r="D76" s="100">
        <v>12</v>
      </c>
      <c r="E76" s="42">
        <f>PMT($C$24,D76,-C76)</f>
        <v>77.013643202494322</v>
      </c>
    </row>
    <row r="77" spans="2:6" x14ac:dyDescent="0.4">
      <c r="B77" s="5" t="s">
        <v>55</v>
      </c>
      <c r="C77" s="101">
        <v>0</v>
      </c>
      <c r="D77" s="101">
        <v>12</v>
      </c>
      <c r="E77" s="43">
        <f t="shared" ref="E77:E86" si="0">PMT($C$24,D77,-C77)</f>
        <v>0</v>
      </c>
    </row>
    <row r="78" spans="2:6" ht="31.75" x14ac:dyDescent="0.4">
      <c r="B78" s="7" t="s">
        <v>56</v>
      </c>
      <c r="C78" s="101">
        <v>72000</v>
      </c>
      <c r="D78" s="101">
        <v>12</v>
      </c>
      <c r="E78" s="43">
        <f t="shared" si="0"/>
        <v>11089.964621159181</v>
      </c>
    </row>
    <row r="79" spans="2:6" x14ac:dyDescent="0.4">
      <c r="B79" s="7" t="s">
        <v>57</v>
      </c>
      <c r="C79" s="101">
        <f>24000/400*C7</f>
        <v>24000</v>
      </c>
      <c r="D79" s="101">
        <v>3</v>
      </c>
      <c r="E79" s="43">
        <f t="shared" si="0"/>
        <v>9821.1136710451519</v>
      </c>
    </row>
    <row r="80" spans="2:6" ht="31.75" x14ac:dyDescent="0.4">
      <c r="B80" s="7" t="s">
        <v>56</v>
      </c>
      <c r="C80" s="101">
        <v>1200</v>
      </c>
      <c r="D80" s="101">
        <v>12</v>
      </c>
      <c r="E80" s="43">
        <f t="shared" si="0"/>
        <v>184.83274368598634</v>
      </c>
    </row>
    <row r="81" spans="2:6" x14ac:dyDescent="0.4">
      <c r="B81" s="5" t="s">
        <v>58</v>
      </c>
      <c r="C81" s="101">
        <v>22000</v>
      </c>
      <c r="D81" s="101">
        <v>12</v>
      </c>
      <c r="E81" s="43">
        <f t="shared" si="0"/>
        <v>3388.6003009097499</v>
      </c>
    </row>
    <row r="82" spans="2:6" x14ac:dyDescent="0.4">
      <c r="B82" s="5" t="s">
        <v>59</v>
      </c>
      <c r="C82" s="101">
        <v>5000</v>
      </c>
      <c r="D82" s="101">
        <v>6</v>
      </c>
      <c r="E82" s="43">
        <f t="shared" si="0"/>
        <v>1181.8828179451978</v>
      </c>
    </row>
    <row r="83" spans="2:6" x14ac:dyDescent="0.4">
      <c r="B83" s="5" t="s">
        <v>60</v>
      </c>
      <c r="C83" s="101">
        <v>1500</v>
      </c>
      <c r="D83" s="101">
        <v>6</v>
      </c>
      <c r="E83" s="43">
        <f t="shared" si="0"/>
        <v>354.56484538355932</v>
      </c>
    </row>
    <row r="84" spans="2:6" x14ac:dyDescent="0.4">
      <c r="B84" s="5"/>
      <c r="C84" s="101"/>
      <c r="D84" s="101"/>
      <c r="E84" s="43"/>
    </row>
    <row r="85" spans="2:6" x14ac:dyDescent="0.4">
      <c r="B85" s="5"/>
      <c r="C85" s="101"/>
      <c r="D85" s="101"/>
      <c r="E85" s="43"/>
    </row>
    <row r="86" spans="2:6" x14ac:dyDescent="0.4">
      <c r="B86" s="5" t="s">
        <v>61</v>
      </c>
      <c r="C86" s="6">
        <f>SUM(C76:C85)*10%</f>
        <v>12620</v>
      </c>
      <c r="D86" s="6">
        <v>10</v>
      </c>
      <c r="E86" s="43">
        <f t="shared" si="0"/>
        <v>2142.8940099703277</v>
      </c>
    </row>
    <row r="87" spans="2:6" ht="21" thickBot="1" x14ac:dyDescent="0.45">
      <c r="B87" s="52" t="s">
        <v>64</v>
      </c>
      <c r="C87" s="53">
        <f>SUM(C76:C86)</f>
        <v>138820</v>
      </c>
      <c r="D87" s="53"/>
      <c r="E87" s="65">
        <f>SUM(E76:E86)</f>
        <v>28240.866653301651</v>
      </c>
    </row>
    <row r="90" spans="2:6" ht="23.6" thickBot="1" x14ac:dyDescent="0.45">
      <c r="B90" s="9" t="s">
        <v>98</v>
      </c>
    </row>
    <row r="91" spans="2:6" ht="16.3" thickBot="1" x14ac:dyDescent="0.45">
      <c r="B91" s="49" t="s">
        <v>2</v>
      </c>
      <c r="C91" s="49" t="s">
        <v>43</v>
      </c>
      <c r="D91" s="49" t="s">
        <v>30</v>
      </c>
      <c r="E91" s="49" t="s">
        <v>3</v>
      </c>
      <c r="F91" s="16" t="s">
        <v>44</v>
      </c>
    </row>
    <row r="92" spans="2:6" x14ac:dyDescent="0.4">
      <c r="B92" s="13" t="s">
        <v>79</v>
      </c>
      <c r="C92" s="55" t="s">
        <v>46</v>
      </c>
      <c r="D92" s="55">
        <f>E32</f>
        <v>14600</v>
      </c>
      <c r="E92" s="112">
        <f>D32</f>
        <v>4.4887499999999996</v>
      </c>
      <c r="F92" s="74">
        <f>E92*D92</f>
        <v>65535.749999999993</v>
      </c>
    </row>
    <row r="93" spans="2:6" x14ac:dyDescent="0.4">
      <c r="B93" s="14" t="s">
        <v>81</v>
      </c>
      <c r="C93" s="59" t="s">
        <v>46</v>
      </c>
      <c r="D93" s="59">
        <f>E33</f>
        <v>3285</v>
      </c>
      <c r="E93" s="111">
        <f>D33</f>
        <v>2.2443749999999998</v>
      </c>
      <c r="F93" s="75">
        <f>E93*D93</f>
        <v>7372.7718749999995</v>
      </c>
    </row>
    <row r="94" spans="2:6" x14ac:dyDescent="0.4">
      <c r="B94" s="14" t="s">
        <v>48</v>
      </c>
      <c r="C94" s="59" t="s">
        <v>46</v>
      </c>
      <c r="D94" s="59">
        <f>E34</f>
        <v>600</v>
      </c>
      <c r="E94" s="111">
        <f>D34</f>
        <v>24</v>
      </c>
      <c r="F94" s="75">
        <f>E94*D94</f>
        <v>14400</v>
      </c>
    </row>
    <row r="95" spans="2:6" ht="23.6" thickBot="1" x14ac:dyDescent="0.45">
      <c r="B95" s="76" t="s">
        <v>114</v>
      </c>
      <c r="C95" s="77"/>
      <c r="D95" s="77"/>
      <c r="E95" s="77"/>
      <c r="F95" s="78">
        <f>SUM(F92:F94)</f>
        <v>87308.521874999991</v>
      </c>
    </row>
    <row r="96" spans="2:6" x14ac:dyDescent="0.4">
      <c r="B96" s="105" t="s">
        <v>99</v>
      </c>
      <c r="C96" s="106"/>
      <c r="D96" s="106"/>
      <c r="E96" s="106"/>
      <c r="F96" s="107">
        <f>F54</f>
        <v>22160</v>
      </c>
    </row>
    <row r="97" spans="2:17" ht="31.75" x14ac:dyDescent="0.4">
      <c r="B97" s="108" t="s">
        <v>100</v>
      </c>
      <c r="C97" s="109"/>
      <c r="D97" s="109"/>
      <c r="E97" s="109"/>
      <c r="F97" s="110">
        <f>F69</f>
        <v>35785.199999999997</v>
      </c>
    </row>
    <row r="98" spans="2:17" ht="47.6" x14ac:dyDescent="0.4">
      <c r="B98" s="108" t="s">
        <v>82</v>
      </c>
      <c r="C98" s="109" t="s">
        <v>46</v>
      </c>
      <c r="D98" s="109">
        <v>1250</v>
      </c>
      <c r="E98" s="113">
        <f>E92</f>
        <v>4.4887499999999996</v>
      </c>
      <c r="F98" s="110">
        <f>E98*D98</f>
        <v>5610.9374999999991</v>
      </c>
    </row>
    <row r="99" spans="2:17" ht="26.15" x14ac:dyDescent="0.4">
      <c r="B99" s="116" t="s">
        <v>96</v>
      </c>
      <c r="C99" s="117"/>
      <c r="D99" s="117"/>
      <c r="E99" s="117"/>
      <c r="F99" s="118">
        <f>SUM(F96:F98)</f>
        <v>63556.137499999997</v>
      </c>
    </row>
    <row r="100" spans="2:17" ht="57" thickBot="1" x14ac:dyDescent="0.45">
      <c r="B100" s="119" t="s">
        <v>101</v>
      </c>
      <c r="C100" s="114"/>
      <c r="D100" s="114"/>
      <c r="E100" s="114"/>
      <c r="F100" s="115">
        <f>F95-F99</f>
        <v>23752.384374999994</v>
      </c>
    </row>
    <row r="101" spans="2:17" x14ac:dyDescent="0.4">
      <c r="B101" s="3" t="s">
        <v>63</v>
      </c>
      <c r="C101" s="4"/>
      <c r="D101" s="4"/>
      <c r="E101" s="4"/>
      <c r="F101" s="42">
        <f>E87</f>
        <v>28240.866653301651</v>
      </c>
    </row>
    <row r="102" spans="2:17" ht="26.6" thickBot="1" x14ac:dyDescent="0.45">
      <c r="B102" s="79" t="s">
        <v>102</v>
      </c>
      <c r="C102" s="80"/>
      <c r="D102" s="80"/>
      <c r="E102" s="80"/>
      <c r="F102" s="81">
        <f>F100-F101</f>
        <v>-4488.4822783016571</v>
      </c>
      <c r="I102" s="120" t="s">
        <v>103</v>
      </c>
    </row>
    <row r="103" spans="2:17" ht="63.9" thickBot="1" x14ac:dyDescent="0.45">
      <c r="B103" s="44" t="s">
        <v>83</v>
      </c>
      <c r="C103" s="48"/>
      <c r="D103" s="48"/>
      <c r="E103" s="48"/>
      <c r="F103" s="8"/>
      <c r="J103" s="130"/>
      <c r="K103" s="131"/>
      <c r="L103" s="62" t="s">
        <v>104</v>
      </c>
      <c r="M103" s="55"/>
      <c r="N103" s="55"/>
      <c r="O103" s="55"/>
      <c r="P103" s="74"/>
    </row>
    <row r="104" spans="2:17" ht="18.899999999999999" thickBot="1" x14ac:dyDescent="0.45">
      <c r="J104" s="132"/>
      <c r="K104" s="133">
        <f>$F$102</f>
        <v>-4488.4822783016571</v>
      </c>
      <c r="L104" s="124">
        <v>0.4</v>
      </c>
      <c r="M104" s="125">
        <v>0.45</v>
      </c>
      <c r="N104" s="135">
        <v>0.5</v>
      </c>
      <c r="O104" s="125">
        <v>0.55000000000000004</v>
      </c>
      <c r="P104" s="126">
        <v>0.6</v>
      </c>
      <c r="Q104" s="121"/>
    </row>
    <row r="105" spans="2:17" ht="18.45" x14ac:dyDescent="0.4">
      <c r="J105" s="138" t="s">
        <v>105</v>
      </c>
      <c r="K105" s="74">
        <v>120</v>
      </c>
      <c r="L105" s="127">
        <f t="dataTable" ref="L105:P114" dt2D="1" dtr="1" r1="C16" r2="C13" ca="1"/>
        <v>-22619.291653301654</v>
      </c>
      <c r="M105" s="102">
        <v>-17292.64165330166</v>
      </c>
      <c r="N105" s="102">
        <v>-11965.991653301651</v>
      </c>
      <c r="O105" s="102">
        <v>-6639.3416533016425</v>
      </c>
      <c r="P105" s="103">
        <v>-1312.6916533016629</v>
      </c>
    </row>
    <row r="106" spans="2:17" ht="18.899999999999999" thickBot="1" x14ac:dyDescent="0.45">
      <c r="J106" s="139" t="s">
        <v>106</v>
      </c>
      <c r="K106" s="75">
        <v>130</v>
      </c>
      <c r="L106" s="128">
        <v>-18522.060403301643</v>
      </c>
      <c r="M106" s="59">
        <v>-12751.522903301651</v>
      </c>
      <c r="N106" s="136">
        <v>-6980.9854033016454</v>
      </c>
      <c r="O106" s="59">
        <v>-1210.4479033016396</v>
      </c>
      <c r="P106" s="75">
        <v>4560.0895966983517</v>
      </c>
    </row>
    <row r="107" spans="2:17" ht="23.6" thickBot="1" x14ac:dyDescent="0.45">
      <c r="J107" s="139" t="s">
        <v>5</v>
      </c>
      <c r="K107" s="134">
        <v>135</v>
      </c>
      <c r="L107" s="128">
        <v>-16473.444778301651</v>
      </c>
      <c r="M107" s="123">
        <v>-10480.963528301654</v>
      </c>
      <c r="N107" s="137">
        <v>-4488.4822783016571</v>
      </c>
      <c r="O107" s="128">
        <v>1503.9989716983546</v>
      </c>
      <c r="P107" s="75">
        <v>7496.4802216983371</v>
      </c>
    </row>
    <row r="108" spans="2:17" x14ac:dyDescent="0.4">
      <c r="J108" s="58"/>
      <c r="K108" s="75">
        <v>140</v>
      </c>
      <c r="L108" s="128">
        <v>-14424.829153301645</v>
      </c>
      <c r="M108" s="59">
        <v>-8210.4041533016425</v>
      </c>
      <c r="N108" s="102">
        <v>-1995.9791533016542</v>
      </c>
      <c r="O108" s="59">
        <v>4218.4458466983633</v>
      </c>
      <c r="P108" s="75">
        <v>10432.870846698352</v>
      </c>
    </row>
    <row r="109" spans="2:17" x14ac:dyDescent="0.4">
      <c r="J109" s="58"/>
      <c r="K109" s="75">
        <v>150</v>
      </c>
      <c r="L109" s="128">
        <v>-10327.597903301648</v>
      </c>
      <c r="M109" s="59">
        <v>-3669.2854033016483</v>
      </c>
      <c r="N109" s="59">
        <v>2989.0270966983517</v>
      </c>
      <c r="O109" s="59">
        <v>9647.3395966983517</v>
      </c>
      <c r="P109" s="75">
        <v>16305.652096698337</v>
      </c>
    </row>
    <row r="110" spans="2:17" x14ac:dyDescent="0.4">
      <c r="J110" s="58"/>
      <c r="K110" s="75">
        <v>160</v>
      </c>
      <c r="L110" s="128">
        <v>-6230.3666533016658</v>
      </c>
      <c r="M110" s="59">
        <v>871.83334669834585</v>
      </c>
      <c r="N110" s="59">
        <v>7974.0333466983284</v>
      </c>
      <c r="O110" s="59">
        <v>15076.23334669834</v>
      </c>
      <c r="P110" s="75">
        <v>22178.433346698352</v>
      </c>
    </row>
    <row r="111" spans="2:17" x14ac:dyDescent="0.4">
      <c r="J111" s="58"/>
      <c r="K111" s="75">
        <v>170</v>
      </c>
      <c r="L111" s="128">
        <v>-2133.1354033016542</v>
      </c>
      <c r="M111" s="59">
        <v>5412.95209669834</v>
      </c>
      <c r="N111" s="59">
        <v>12959.039596698334</v>
      </c>
      <c r="O111" s="59">
        <v>20505.127096698343</v>
      </c>
      <c r="P111" s="75">
        <v>28051.214596698323</v>
      </c>
    </row>
    <row r="112" spans="2:17" x14ac:dyDescent="0.4">
      <c r="J112" s="58"/>
      <c r="K112" s="75">
        <v>180</v>
      </c>
      <c r="L112" s="128">
        <v>1964.095846698372</v>
      </c>
      <c r="M112" s="59">
        <v>9954.0708466983779</v>
      </c>
      <c r="N112" s="59">
        <v>17944.045846698369</v>
      </c>
      <c r="O112" s="59">
        <v>25934.020846698375</v>
      </c>
      <c r="P112" s="75">
        <v>33923.995846698366</v>
      </c>
    </row>
    <row r="113" spans="9:17" x14ac:dyDescent="0.4">
      <c r="J113" s="58"/>
      <c r="K113" s="75">
        <v>190</v>
      </c>
      <c r="L113" s="128">
        <v>6061.3270966983546</v>
      </c>
      <c r="M113" s="59">
        <v>14495.189596698343</v>
      </c>
      <c r="N113" s="59">
        <v>22929.052096698346</v>
      </c>
      <c r="O113" s="59">
        <v>31362.914596698349</v>
      </c>
      <c r="P113" s="75">
        <v>39796.777096698352</v>
      </c>
    </row>
    <row r="114" spans="9:17" ht="16.3" thickBot="1" x14ac:dyDescent="0.45">
      <c r="J114" s="122"/>
      <c r="K114" s="104">
        <v>200</v>
      </c>
      <c r="L114" s="129">
        <v>10158.558346698352</v>
      </c>
      <c r="M114" s="61">
        <v>19036.308346698337</v>
      </c>
      <c r="N114" s="61">
        <v>27914.058346698337</v>
      </c>
      <c r="O114" s="61">
        <v>36791.808346698352</v>
      </c>
      <c r="P114" s="104">
        <v>45669.558346698352</v>
      </c>
    </row>
    <row r="115" spans="9:17" x14ac:dyDescent="0.4">
      <c r="K115"/>
    </row>
    <row r="116" spans="9:17" x14ac:dyDescent="0.4">
      <c r="K116"/>
    </row>
    <row r="117" spans="9:17" ht="21" thickBot="1" x14ac:dyDescent="0.45">
      <c r="I117" s="120" t="s">
        <v>107</v>
      </c>
      <c r="J117" s="168"/>
      <c r="K117" s="168"/>
      <c r="L117" s="168"/>
      <c r="M117" s="168"/>
      <c r="N117" s="168"/>
      <c r="O117" s="168"/>
      <c r="P117" s="168"/>
      <c r="Q117" s="168"/>
    </row>
    <row r="118" spans="9:17" ht="20.6" x14ac:dyDescent="0.4">
      <c r="J118" s="130"/>
      <c r="K118" s="131"/>
      <c r="L118" s="62" t="s">
        <v>14</v>
      </c>
      <c r="M118" s="55"/>
      <c r="N118" s="55"/>
      <c r="O118" s="55"/>
      <c r="P118" s="74"/>
    </row>
    <row r="119" spans="9:17" ht="21" thickBot="1" x14ac:dyDescent="0.45">
      <c r="J119" s="132"/>
      <c r="K119" s="133">
        <f>$F$102</f>
        <v>-4488.4822783016571</v>
      </c>
      <c r="L119" s="144">
        <v>400</v>
      </c>
      <c r="M119" s="140">
        <v>450</v>
      </c>
      <c r="N119" s="140">
        <v>500</v>
      </c>
      <c r="O119" s="140">
        <v>550</v>
      </c>
      <c r="P119" s="141">
        <v>600</v>
      </c>
    </row>
    <row r="120" spans="9:17" ht="18.45" x14ac:dyDescent="0.4">
      <c r="J120" s="138" t="s">
        <v>105</v>
      </c>
      <c r="K120" s="74">
        <v>120</v>
      </c>
      <c r="L120" s="127">
        <f t="dataTable" ref="L120:P129" dt2D="1" dtr="1" r1="C7" r2="C13" ca="1"/>
        <v>-11965.991653301651</v>
      </c>
      <c r="M120" s="102">
        <v>-6737.0619153115476</v>
      </c>
      <c r="N120" s="102">
        <v>-1508.1321773214331</v>
      </c>
      <c r="O120" s="102">
        <v>3720.7975606686705</v>
      </c>
      <c r="P120" s="103">
        <v>8949.7272986587923</v>
      </c>
    </row>
    <row r="121" spans="9:17" ht="18.45" x14ac:dyDescent="0.4">
      <c r="J121" s="139" t="s">
        <v>106</v>
      </c>
      <c r="K121" s="75">
        <v>130</v>
      </c>
      <c r="L121" s="128">
        <v>-6980.9854033016454</v>
      </c>
      <c r="M121" s="59">
        <v>-1128.9298840615447</v>
      </c>
      <c r="N121" s="136">
        <v>4723.1256351785523</v>
      </c>
      <c r="O121" s="59">
        <v>10575.181154418653</v>
      </c>
      <c r="P121" s="75">
        <v>16427.236673658772</v>
      </c>
    </row>
    <row r="122" spans="9:17" ht="23.15" x14ac:dyDescent="0.4">
      <c r="J122" s="139" t="s">
        <v>5</v>
      </c>
      <c r="K122" s="143">
        <v>135</v>
      </c>
      <c r="L122" s="142">
        <v>-4488.4822783016571</v>
      </c>
      <c r="M122" s="123">
        <v>1675.136131563464</v>
      </c>
      <c r="N122" s="123">
        <v>7838.7545414285523</v>
      </c>
      <c r="O122" s="128">
        <v>14002.372951293659</v>
      </c>
      <c r="P122" s="75">
        <v>20165.991361158784</v>
      </c>
    </row>
    <row r="123" spans="9:17" x14ac:dyDescent="0.4">
      <c r="J123" s="58"/>
      <c r="K123" s="75">
        <v>140</v>
      </c>
      <c r="L123" s="128">
        <v>-1995.9791533016542</v>
      </c>
      <c r="M123" s="59">
        <v>4479.2021471884582</v>
      </c>
      <c r="N123" s="102">
        <v>10954.383447678567</v>
      </c>
      <c r="O123" s="59">
        <v>17429.564748168679</v>
      </c>
      <c r="P123" s="75">
        <v>23904.746048658766</v>
      </c>
    </row>
    <row r="124" spans="9:17" x14ac:dyDescent="0.4">
      <c r="J124" s="58"/>
      <c r="K124" s="75">
        <v>150</v>
      </c>
      <c r="L124" s="128">
        <v>2989.0270966983517</v>
      </c>
      <c r="M124" s="59">
        <v>10087.334178438447</v>
      </c>
      <c r="N124" s="59">
        <v>17185.641260178567</v>
      </c>
      <c r="O124" s="59">
        <v>24283.948341918676</v>
      </c>
      <c r="P124" s="75">
        <v>31382.255423658789</v>
      </c>
    </row>
    <row r="125" spans="9:17" x14ac:dyDescent="0.4">
      <c r="J125" s="58"/>
      <c r="K125" s="75">
        <v>160</v>
      </c>
      <c r="L125" s="128">
        <v>7974.0333466983284</v>
      </c>
      <c r="M125" s="59">
        <v>15695.466209688464</v>
      </c>
      <c r="N125" s="59">
        <v>23416.899072678552</v>
      </c>
      <c r="O125" s="59">
        <v>31138.331935668659</v>
      </c>
      <c r="P125" s="75">
        <v>38859.764798658784</v>
      </c>
    </row>
    <row r="126" spans="9:17" x14ac:dyDescent="0.4">
      <c r="J126" s="58"/>
      <c r="K126" s="75">
        <v>170</v>
      </c>
      <c r="L126" s="128">
        <v>12959.039596698334</v>
      </c>
      <c r="M126" s="59">
        <v>21303.598240938438</v>
      </c>
      <c r="N126" s="59">
        <v>29648.156885178538</v>
      </c>
      <c r="O126" s="59">
        <v>37992.715529418638</v>
      </c>
      <c r="P126" s="75">
        <v>46337.274173658778</v>
      </c>
    </row>
    <row r="127" spans="9:17" x14ac:dyDescent="0.4">
      <c r="J127" s="58"/>
      <c r="K127" s="75">
        <v>180</v>
      </c>
      <c r="L127" s="128">
        <v>17944.045846698369</v>
      </c>
      <c r="M127" s="59">
        <v>26911.730272188484</v>
      </c>
      <c r="N127" s="59">
        <v>35879.414697678571</v>
      </c>
      <c r="O127" s="59">
        <v>44847.099123168649</v>
      </c>
      <c r="P127" s="75">
        <v>53814.783548658772</v>
      </c>
    </row>
    <row r="128" spans="9:17" x14ac:dyDescent="0.4">
      <c r="J128" s="58"/>
      <c r="K128" s="75">
        <v>190</v>
      </c>
      <c r="L128" s="128">
        <v>22929.052096698346</v>
      </c>
      <c r="M128" s="59">
        <v>32519.862303438444</v>
      </c>
      <c r="N128" s="59">
        <v>42110.672510178571</v>
      </c>
      <c r="O128" s="59">
        <v>51701.482716918661</v>
      </c>
      <c r="P128" s="75">
        <v>61292.292923658766</v>
      </c>
    </row>
    <row r="129" spans="9:18" ht="16.3" thickBot="1" x14ac:dyDescent="0.45">
      <c r="J129" s="122"/>
      <c r="K129" s="104">
        <v>200</v>
      </c>
      <c r="L129" s="129">
        <v>27914.058346698337</v>
      </c>
      <c r="M129" s="61">
        <v>38127.994334688461</v>
      </c>
      <c r="N129" s="61">
        <v>48341.930322678571</v>
      </c>
      <c r="O129" s="61">
        <v>58555.866310668644</v>
      </c>
      <c r="P129" s="104">
        <v>68769.802298658789</v>
      </c>
    </row>
    <row r="132" spans="9:18" ht="21" thickBot="1" x14ac:dyDescent="0.45">
      <c r="I132" s="120" t="s">
        <v>108</v>
      </c>
      <c r="J132" s="168"/>
      <c r="K132" s="168"/>
      <c r="L132" s="168"/>
      <c r="M132" s="168"/>
      <c r="N132" s="168"/>
      <c r="O132" s="168"/>
      <c r="P132" s="168"/>
      <c r="Q132" s="168"/>
    </row>
    <row r="133" spans="9:18" ht="20.6" x14ac:dyDescent="0.4">
      <c r="J133" s="130"/>
      <c r="K133" s="131"/>
      <c r="L133" s="62" t="s">
        <v>109</v>
      </c>
      <c r="M133" s="55"/>
      <c r="N133" s="55"/>
      <c r="O133" s="74"/>
      <c r="P133"/>
    </row>
    <row r="134" spans="9:18" ht="21" thickBot="1" x14ac:dyDescent="0.45">
      <c r="J134" s="132"/>
      <c r="K134" s="133">
        <f>$F$102</f>
        <v>-4488.4822783016571</v>
      </c>
      <c r="L134" s="155">
        <v>35</v>
      </c>
      <c r="M134" s="154">
        <v>40</v>
      </c>
      <c r="N134" s="140">
        <v>45</v>
      </c>
      <c r="O134" s="141">
        <v>50</v>
      </c>
      <c r="P134"/>
    </row>
    <row r="135" spans="9:18" ht="18.45" x14ac:dyDescent="0.4">
      <c r="J135" s="138" t="s">
        <v>105</v>
      </c>
      <c r="K135" s="74">
        <v>120</v>
      </c>
      <c r="L135" s="145">
        <f t="dataTable" ref="L135:O144" dt2D="1" dtr="1" r1="C11" r2="C13" ca="1"/>
        <v>-17919.101028301666</v>
      </c>
      <c r="M135" s="146">
        <v>-11965.991653301651</v>
      </c>
      <c r="N135" s="146">
        <v>-6012.8822783016512</v>
      </c>
      <c r="O135" s="147">
        <v>-59.77290330165124</v>
      </c>
      <c r="P135"/>
    </row>
    <row r="136" spans="9:18" ht="18.899999999999999" customHeight="1" thickBot="1" x14ac:dyDescent="0.45">
      <c r="J136" s="139" t="s">
        <v>106</v>
      </c>
      <c r="K136" s="75">
        <v>130</v>
      </c>
      <c r="L136" s="148">
        <v>-13557.220559551657</v>
      </c>
      <c r="M136" s="157">
        <v>-6980.9854033016454</v>
      </c>
      <c r="N136" s="149">
        <v>-404.75024705164833</v>
      </c>
      <c r="O136" s="150">
        <v>6171.4849091983342</v>
      </c>
      <c r="P136"/>
      <c r="R136" s="165"/>
    </row>
    <row r="137" spans="9:18" ht="23.6" thickBot="1" x14ac:dyDescent="0.45">
      <c r="J137" s="139" t="s">
        <v>5</v>
      </c>
      <c r="K137" s="143">
        <v>135</v>
      </c>
      <c r="L137" s="156">
        <v>-11376.28032517666</v>
      </c>
      <c r="M137" s="160">
        <v>-4488.4822783016571</v>
      </c>
      <c r="N137" s="159">
        <v>2399.3157685733458</v>
      </c>
      <c r="O137" s="150">
        <v>9287.1138154483342</v>
      </c>
      <c r="P137"/>
    </row>
    <row r="138" spans="9:18" x14ac:dyDescent="0.4">
      <c r="J138" s="58"/>
      <c r="K138" s="75">
        <v>140</v>
      </c>
      <c r="L138" s="148">
        <v>-9195.3400908016774</v>
      </c>
      <c r="M138" s="158">
        <v>-1995.9791533016542</v>
      </c>
      <c r="N138" s="149">
        <v>5203.3817841983546</v>
      </c>
      <c r="O138" s="150">
        <v>12402.742721698349</v>
      </c>
      <c r="P138"/>
    </row>
    <row r="139" spans="9:18" x14ac:dyDescent="0.4">
      <c r="J139" s="58"/>
      <c r="K139" s="75">
        <v>150</v>
      </c>
      <c r="L139" s="148">
        <v>-4833.4596220516687</v>
      </c>
      <c r="M139" s="149">
        <v>2989.0270966983517</v>
      </c>
      <c r="N139" s="149">
        <v>10811.513815448343</v>
      </c>
      <c r="O139" s="150">
        <v>18634.000534198349</v>
      </c>
      <c r="P139"/>
    </row>
    <row r="140" spans="9:18" x14ac:dyDescent="0.4">
      <c r="J140" s="58"/>
      <c r="K140" s="75">
        <v>160</v>
      </c>
      <c r="L140" s="148">
        <v>-471.57915330165997</v>
      </c>
      <c r="M140" s="149">
        <v>7974.0333466983284</v>
      </c>
      <c r="N140" s="149">
        <v>16419.645846698346</v>
      </c>
      <c r="O140" s="150">
        <v>24865.258346698334</v>
      </c>
      <c r="P140"/>
    </row>
    <row r="141" spans="9:18" x14ac:dyDescent="0.4">
      <c r="J141" s="58"/>
      <c r="K141" s="75">
        <v>170</v>
      </c>
      <c r="L141" s="148">
        <v>3890.3013154483342</v>
      </c>
      <c r="M141" s="149">
        <v>12959.039596698334</v>
      </c>
      <c r="N141" s="149">
        <v>22027.777877948334</v>
      </c>
      <c r="O141" s="150">
        <v>31096.51615919832</v>
      </c>
      <c r="P141"/>
    </row>
    <row r="142" spans="9:18" x14ac:dyDescent="0.4">
      <c r="J142" s="58"/>
      <c r="K142" s="75">
        <v>180</v>
      </c>
      <c r="L142" s="148">
        <v>8252.1817841983429</v>
      </c>
      <c r="M142" s="149">
        <v>17944.045846698369</v>
      </c>
      <c r="N142" s="149">
        <v>27635.909909198366</v>
      </c>
      <c r="O142" s="150">
        <v>37327.773971698349</v>
      </c>
      <c r="P142"/>
    </row>
    <row r="143" spans="9:18" x14ac:dyDescent="0.4">
      <c r="J143" s="58"/>
      <c r="K143" s="75">
        <v>190</v>
      </c>
      <c r="L143" s="148">
        <v>12614.062252948352</v>
      </c>
      <c r="M143" s="149">
        <v>22929.052096698346</v>
      </c>
      <c r="N143" s="149">
        <v>33244.041940448325</v>
      </c>
      <c r="O143" s="150">
        <v>43559.031784198349</v>
      </c>
      <c r="P143"/>
    </row>
    <row r="144" spans="9:18" ht="16.3" thickBot="1" x14ac:dyDescent="0.45">
      <c r="J144" s="122"/>
      <c r="K144" s="104">
        <v>200</v>
      </c>
      <c r="L144" s="151">
        <v>16975.942721698346</v>
      </c>
      <c r="M144" s="152">
        <v>27914.058346698337</v>
      </c>
      <c r="N144" s="152">
        <v>38852.173971698343</v>
      </c>
      <c r="O144" s="153">
        <v>49790.289596698349</v>
      </c>
      <c r="P144"/>
    </row>
    <row r="145" spans="8:16" x14ac:dyDescent="0.4">
      <c r="P145"/>
    </row>
    <row r="146" spans="8:16" ht="20.6" x14ac:dyDescent="0.55000000000000004">
      <c r="I146" s="169"/>
      <c r="J146" s="169"/>
      <c r="K146" s="169"/>
      <c r="L146" s="169"/>
      <c r="M146" s="169"/>
      <c r="N146" s="169"/>
      <c r="O146" s="169"/>
      <c r="P146" s="170"/>
    </row>
    <row r="147" spans="8:16" ht="21" thickBot="1" x14ac:dyDescent="0.45">
      <c r="H147" s="169" t="s">
        <v>111</v>
      </c>
      <c r="I147" s="169"/>
      <c r="J147" s="169"/>
      <c r="K147" s="169"/>
      <c r="L147" s="169"/>
      <c r="M147" s="169"/>
      <c r="N147" s="169"/>
      <c r="O147" s="169"/>
    </row>
    <row r="148" spans="8:16" ht="20.6" x14ac:dyDescent="0.4">
      <c r="J148" s="130"/>
      <c r="K148" s="131"/>
      <c r="L148" s="62" t="s">
        <v>112</v>
      </c>
      <c r="M148" s="55"/>
      <c r="N148" s="55"/>
      <c r="O148" s="74"/>
    </row>
    <row r="149" spans="8:16" ht="21" thickBot="1" x14ac:dyDescent="0.45">
      <c r="J149" s="132"/>
      <c r="K149" s="133">
        <f>$F$102</f>
        <v>-4488.4822783016571</v>
      </c>
      <c r="L149" s="163">
        <v>8</v>
      </c>
      <c r="M149" s="164">
        <v>8.5</v>
      </c>
      <c r="N149" s="161">
        <v>9</v>
      </c>
      <c r="O149" s="162">
        <v>10</v>
      </c>
    </row>
    <row r="150" spans="8:16" ht="18.45" x14ac:dyDescent="0.4">
      <c r="J150" s="138" t="s">
        <v>105</v>
      </c>
      <c r="K150" s="74">
        <v>120</v>
      </c>
      <c r="L150" s="145">
        <f t="dataTable" ref="L150:O159" dt2D="1" dtr="1" r1="C19" r2="C13"/>
        <v>-11965.991653301651</v>
      </c>
      <c r="M150" s="146">
        <v>-11525.991653301651</v>
      </c>
      <c r="N150" s="146">
        <v>-11085.991653301651</v>
      </c>
      <c r="O150" s="147">
        <v>-10205.991653301651</v>
      </c>
    </row>
    <row r="151" spans="8:16" ht="18.899999999999999" thickBot="1" x14ac:dyDescent="0.45">
      <c r="J151" s="139" t="s">
        <v>106</v>
      </c>
      <c r="K151" s="75">
        <v>130</v>
      </c>
      <c r="L151" s="148">
        <v>-6980.9854033016454</v>
      </c>
      <c r="M151" s="157">
        <v>-6540.9854033016454</v>
      </c>
      <c r="N151" s="149">
        <v>-6100.9854033016454</v>
      </c>
      <c r="O151" s="150">
        <v>-5220.9854033016454</v>
      </c>
    </row>
    <row r="152" spans="8:16" ht="23.6" thickBot="1" x14ac:dyDescent="0.45">
      <c r="J152" s="139" t="s">
        <v>5</v>
      </c>
      <c r="K152" s="143">
        <v>135</v>
      </c>
      <c r="L152" s="160">
        <v>-4488.4822783016571</v>
      </c>
      <c r="M152" s="159">
        <v>-4048.4822783016571</v>
      </c>
      <c r="N152" s="159">
        <v>-3608.4822783016571</v>
      </c>
      <c r="O152" s="150">
        <v>-2728.4822783016571</v>
      </c>
    </row>
    <row r="153" spans="8:16" x14ac:dyDescent="0.4">
      <c r="J153" s="58"/>
      <c r="K153" s="75">
        <v>140</v>
      </c>
      <c r="L153" s="148">
        <v>-1995.9791533016542</v>
      </c>
      <c r="M153" s="158">
        <v>-1555.9791533016542</v>
      </c>
      <c r="N153" s="149">
        <v>-1115.9791533016542</v>
      </c>
      <c r="O153" s="150">
        <v>-235.97915330165415</v>
      </c>
    </row>
    <row r="154" spans="8:16" x14ac:dyDescent="0.4">
      <c r="J154" s="58"/>
      <c r="K154" s="75">
        <v>150</v>
      </c>
      <c r="L154" s="148">
        <v>2989.0270966983517</v>
      </c>
      <c r="M154" s="149">
        <v>3429.0270966983517</v>
      </c>
      <c r="N154" s="149">
        <v>3869.0270966983517</v>
      </c>
      <c r="O154" s="150">
        <v>4749.0270966983517</v>
      </c>
    </row>
    <row r="155" spans="8:16" x14ac:dyDescent="0.4">
      <c r="J155" s="58"/>
      <c r="K155" s="75">
        <v>160</v>
      </c>
      <c r="L155" s="148">
        <v>7974.0333466983284</v>
      </c>
      <c r="M155" s="149">
        <v>8414.0333466983284</v>
      </c>
      <c r="N155" s="149">
        <v>8854.0333466983284</v>
      </c>
      <c r="O155" s="150">
        <v>9734.0333466983284</v>
      </c>
    </row>
    <row r="156" spans="8:16" x14ac:dyDescent="0.4">
      <c r="J156" s="58"/>
      <c r="K156" s="75">
        <v>170</v>
      </c>
      <c r="L156" s="148">
        <v>12959.039596698334</v>
      </c>
      <c r="M156" s="149">
        <v>13399.039596698334</v>
      </c>
      <c r="N156" s="149">
        <v>13839.039596698334</v>
      </c>
      <c r="O156" s="150">
        <v>14719.039596698334</v>
      </c>
    </row>
    <row r="157" spans="8:16" x14ac:dyDescent="0.4">
      <c r="J157" s="58"/>
      <c r="K157" s="75">
        <v>180</v>
      </c>
      <c r="L157" s="148">
        <v>17944.045846698369</v>
      </c>
      <c r="M157" s="149">
        <v>18384.045846698369</v>
      </c>
      <c r="N157" s="149">
        <v>18824.045846698369</v>
      </c>
      <c r="O157" s="150">
        <v>19704.045846698369</v>
      </c>
    </row>
    <row r="158" spans="8:16" x14ac:dyDescent="0.4">
      <c r="J158" s="58"/>
      <c r="K158" s="75">
        <v>190</v>
      </c>
      <c r="L158" s="148">
        <v>22929.052096698346</v>
      </c>
      <c r="M158" s="149">
        <v>23369.052096698346</v>
      </c>
      <c r="N158" s="149">
        <v>23809.052096698346</v>
      </c>
      <c r="O158" s="150">
        <v>24689.052096698346</v>
      </c>
    </row>
    <row r="159" spans="8:16" ht="16.3" thickBot="1" x14ac:dyDescent="0.45">
      <c r="J159" s="122"/>
      <c r="K159" s="104">
        <v>200</v>
      </c>
      <c r="L159" s="151">
        <v>27914.058346698337</v>
      </c>
      <c r="M159" s="152">
        <v>28354.058346698337</v>
      </c>
      <c r="N159" s="152">
        <v>28794.058346698337</v>
      </c>
      <c r="O159" s="153">
        <v>29674.058346698337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>
    <oddFooter>&amp;Lתאריך הדפסה &amp;D&amp;Cעמוד &amp;P מתוך &amp;N&amp;Rהוכן ע"י: אבי סלמון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>
    <pageSetUpPr fitToPage="1"/>
  </sheetPr>
  <dimension ref="A1"/>
  <sheetViews>
    <sheetView rightToLeft="1" zoomScale="110" zoomScaleNormal="110" workbookViewId="0"/>
  </sheetViews>
  <sheetFormatPr defaultColWidth="9" defaultRowHeight="15.9" x14ac:dyDescent="0.4"/>
  <cols>
    <col min="1" max="16384" width="9" style="2"/>
  </cols>
  <sheetData>
    <row r="1" spans="1:1" ht="26.15" x14ac:dyDescent="0.4">
      <c r="A1" s="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>
    <oddFooter>&amp;Lתאריך הדפסה &amp;D&amp;Cעמוד &amp;P מתוך &amp;N&amp;Rהוכן ע"י: אבי סלמון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pageSetUpPr fitToPage="1"/>
  </sheetPr>
  <dimension ref="A1"/>
  <sheetViews>
    <sheetView rightToLeft="1" zoomScale="110" zoomScaleNormal="110" workbookViewId="0"/>
  </sheetViews>
  <sheetFormatPr defaultColWidth="9" defaultRowHeight="15.9" x14ac:dyDescent="0.4"/>
  <cols>
    <col min="1" max="16384" width="9" style="2"/>
  </cols>
  <sheetData>
    <row r="1" spans="1:1" ht="26.15" x14ac:dyDescent="0.4">
      <c r="A1" s="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>
    <oddFooter>&amp;Lתאריך הדפסה &amp;D&amp;Cעמוד &amp;P מתוך &amp;N&amp;Rהוכן ע"י: אבי סלמון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תחשיב כדאיות וטבלאות רגישות</vt:lpstr>
      <vt:lpstr>גיליון2</vt:lpstr>
      <vt:lpstr>גיליון3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AviSal</dc:creator>
  <cp:lastModifiedBy>user</cp:lastModifiedBy>
  <cp:lastPrinted>2011-09-13T08:24:51Z</cp:lastPrinted>
  <dcterms:created xsi:type="dcterms:W3CDTF">2011-09-13T07:43:04Z</dcterms:created>
  <dcterms:modified xsi:type="dcterms:W3CDTF">2023-08-13T19:38:20Z</dcterms:modified>
</cp:coreProperties>
</file>